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GenomDiag\Genepanel\Genepanel_v3.1.0\"/>
    </mc:Choice>
  </mc:AlternateContent>
  <xr:revisionPtr revIDLastSave="0" documentId="13_ncr:1_{437441C0-063E-4FBA-8D31-096D2F298F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G-3.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</calcChain>
</file>

<file path=xl/sharedStrings.xml><?xml version="1.0" encoding="utf-8"?>
<sst xmlns="http://schemas.openxmlformats.org/spreadsheetml/2006/main" count="18317" uniqueCount="10706">
  <si>
    <t>GeneID_NCBI</t>
  </si>
  <si>
    <t>Symbol_HGNC</t>
  </si>
  <si>
    <t>Aliases</t>
  </si>
  <si>
    <t>mean_cov_BGI</t>
  </si>
  <si>
    <t>median_cov_BGI</t>
  </si>
  <si>
    <t>perc_cov_BGI_10x</t>
  </si>
  <si>
    <t>perc_cov_BGI_20x</t>
  </si>
  <si>
    <t>mean_cov_TWIST</t>
  </si>
  <si>
    <t>median_cov_TWIST</t>
  </si>
  <si>
    <t>perc_cov_TWIST_10x</t>
  </si>
  <si>
    <t>perc_cov_TWIST_20x</t>
  </si>
  <si>
    <t>GenePanels_Symbol</t>
  </si>
  <si>
    <t>GenePanel</t>
  </si>
  <si>
    <t>GenePanelCount</t>
  </si>
  <si>
    <t>A2M</t>
  </si>
  <si>
    <t>A2MD|CPAMD5|FWP007|S863-7</t>
  </si>
  <si>
    <t>HEMOS (AD);OMIM (AD)</t>
  </si>
  <si>
    <t>A2ML1</t>
  </si>
  <si>
    <t>CPAMD9|OMS|p170</t>
  </si>
  <si>
    <t>OMIM (AD);TUMOR (AD)</t>
  </si>
  <si>
    <t>A4GALT</t>
  </si>
  <si>
    <t>A14GALT|A4GALT1|Gb3S|P(k)|P1|P1PK|PK</t>
  </si>
  <si>
    <t>OMIM (UK,AR,AD,XL)</t>
  </si>
  <si>
    <t>AAAS</t>
  </si>
  <si>
    <t>AAA|AAASb|ADRACALA|ADRACALIN|ALADIN|GL003</t>
  </si>
  <si>
    <t>DERM (AR);DSD (AR);HMSN (AR);MR (AR);OMIM (AR);PCS (AR)</t>
  </si>
  <si>
    <t>AR</t>
  </si>
  <si>
    <t>AAGAB</t>
  </si>
  <si>
    <t>KPPP1|PPKP1|PPKP1A|p34</t>
  </si>
  <si>
    <t>DERM (AD);OMIM (AD)</t>
  </si>
  <si>
    <t>AARS1</t>
  </si>
  <si>
    <t>AARS|CMT2N|DEE29|EIEE29</t>
  </si>
  <si>
    <t>EPI (AD,AR);HMSN (AD);MR (AR);OMIM (AD,AR);PCS (AR)</t>
  </si>
  <si>
    <t>AARS2</t>
  </si>
  <si>
    <t>AARSL|COXPD8|LKENP|MT-ALARS|MTALARS</t>
  </si>
  <si>
    <t>BEWEGING (AR);DSD (AR);HART (AR);OMIM (AR);OXPHOS (AR);PCS (AR)</t>
  </si>
  <si>
    <t>AASS</t>
  </si>
  <si>
    <t>LKR/SDH|LKRSDH|LORSDH</t>
  </si>
  <si>
    <t>METAB (AR);MR (AR);OMIM (AR);PCS (AR)</t>
  </si>
  <si>
    <t>ABAT</t>
  </si>
  <si>
    <t>GABA-AT|GABAT|NPD009</t>
  </si>
  <si>
    <t>EPI (AR);METAB (AR);MR (AR);OMIM (AR);OXPHOS (AR);PCS (AR)</t>
  </si>
  <si>
    <t>ABCA1</t>
  </si>
  <si>
    <t>ABC-1|ABC1|CERP|HDLCQTL13|HDLDT1|HPALP1|TGD</t>
  </si>
  <si>
    <t>HMSN (AR);OMIM (AR);PCS (AR)</t>
  </si>
  <si>
    <t>ABCA12</t>
  </si>
  <si>
    <t>ARCI4A|ARCI4B|ICR2B|LI2</t>
  </si>
  <si>
    <t>DERM (AR);OMIM (AR)</t>
  </si>
  <si>
    <t>ABCA2</t>
  </si>
  <si>
    <t>ABC2|IDPOGSA</t>
  </si>
  <si>
    <t>MR (AR);OMIM (AR)</t>
  </si>
  <si>
    <t>ABCA3</t>
  </si>
  <si>
    <t>ABC-C|ABC3|EST111653|LBM180|SMDP3</t>
  </si>
  <si>
    <t>OMIM (AR);PCS (AR)</t>
  </si>
  <si>
    <t>ABCA4</t>
  </si>
  <si>
    <t>ABC10|ABCR|ARMD2|CORD3|FFM|RMP|RP19|STGD|STGD1</t>
  </si>
  <si>
    <t>BLIND (AR);OMIM (AR);PCS (AR)</t>
  </si>
  <si>
    <t>ABCA5</t>
  </si>
  <si>
    <t>ABC13|EST90625|HTC3</t>
  </si>
  <si>
    <t>OMIM (AR)</t>
  </si>
  <si>
    <t>ABCB10</t>
  </si>
  <si>
    <t>EST20237|M-ABC2|MTABC2</t>
  </si>
  <si>
    <t>IJZER (AD,AR);OMIM (AD,AR)</t>
  </si>
  <si>
    <t>ABCB11</t>
  </si>
  <si>
    <t>ABC16|BRIC2|BSEP|PFIC-2|PFIC2|PGY4|SPGP</t>
  </si>
  <si>
    <t>LEVER (AR);OMIM (AR);PCS (AR)</t>
  </si>
  <si>
    <t>ABCB4</t>
  </si>
  <si>
    <t>ABC21|GBD1|ICP3|MDR2|MDR2/3|MDR3|PFIC-3|PGY3</t>
  </si>
  <si>
    <t>LEVER (AR);OMIM (AR;AD,AR);PCS (AR)</t>
  </si>
  <si>
    <t>ABCB6</t>
  </si>
  <si>
    <t>ABC|LAN|MTABC3|PRP|umat</t>
  </si>
  <si>
    <t>ABCB7</t>
  </si>
  <si>
    <t>ABC7|ASAT|Atm1p|EST140535</t>
  </si>
  <si>
    <t>BEWEGING (XL);BMF (XL);IJZER (XL);OMIM (XL;XLR)</t>
  </si>
  <si>
    <t>ABCC1</t>
  </si>
  <si>
    <t>ABC29|ABCC|DFNA77|GS-X|MRP|MRP1</t>
  </si>
  <si>
    <t>DOOF (AD);OMIM (AD)</t>
  </si>
  <si>
    <t>ABCC2</t>
  </si>
  <si>
    <t>ABC30|CMOAT|DJS|MRP2|cMRP</t>
  </si>
  <si>
    <t>ABCC6</t>
  </si>
  <si>
    <t>ABC34|ARA|EST349056|GACI2|MLP1|MOAT-E|MOATE|MRP6|PXE|PXE1|URG7</t>
  </si>
  <si>
    <t>ANEURYSM (AD);BLIND (AD,AR);DERM (AD,AR);HART (AD,AR);OMIM (AD,AR);PCS (AR)</t>
  </si>
  <si>
    <t>ABCC8</t>
  </si>
  <si>
    <t>ABC36|HHF1|HI|HRINS|MRP8|PHHI|PNDM3|SUR|SUR1|SUR1delta2|TNDM2</t>
  </si>
  <si>
    <t>EPI (AD);METAB (AD,AR);MR (AD);OMIM (AD;AD,AR);PCS (AR)</t>
  </si>
  <si>
    <t>ABCC9</t>
  </si>
  <si>
    <t>ABC37|ATFB12|CANTU|CMD1O|SUR2</t>
  </si>
  <si>
    <t>DERM (AD);HART (AD);LENGTE (AD);MR (AD);OMIM (AD)</t>
  </si>
  <si>
    <t>ABCD1</t>
  </si>
  <si>
    <t>ABC42|ALD|ALDP|AMN</t>
  </si>
  <si>
    <t>BEWEGING (XL);DSD (XLR);HMSN (XL);METAB (XL);MR (XL);OMIM (XL;XLR)</t>
  </si>
  <si>
    <t>ABCD2</t>
  </si>
  <si>
    <t>ABC39|ALDL1|ALDR|ALDRP|hALDR</t>
  </si>
  <si>
    <t>METAB (AR);OMIM (AR)</t>
  </si>
  <si>
    <t>ABCD3</t>
  </si>
  <si>
    <t>ABC43|CBAS5|PMP70|PXMP1|ZWS2</t>
  </si>
  <si>
    <t>LEVER (AR);METAB (AR);OMIM (AR);PCS (AR)</t>
  </si>
  <si>
    <t>ABCD4</t>
  </si>
  <si>
    <t>ABC41|EST352188|MAHCJ|P70R|P79R|PMP69|PXMP1L</t>
  </si>
  <si>
    <t>BMF (AR);METAB (AR);MR (AR);OMIM (AR);PCS (AR)</t>
  </si>
  <si>
    <t>ABCG5</t>
  </si>
  <si>
    <t>STSL|STSL2</t>
  </si>
  <si>
    <t>HEMOS (AR);METAB (AR);OMIM (AR);PCS (AR)</t>
  </si>
  <si>
    <t>ABCG8</t>
  </si>
  <si>
    <t>GBD4|STSL|STSL1</t>
  </si>
  <si>
    <t>ABHD12</t>
  </si>
  <si>
    <t>ABHD12A|BEM46L2|C20orf22|PHARC|dJ965G21.2|hABHD12</t>
  </si>
  <si>
    <t>BEWEGING (AR);BLIND (AR);DOOF (AR);HMSN (AR);METAB (AR);OMIM (AR);PCS (AR)</t>
  </si>
  <si>
    <t>ABHD5</t>
  </si>
  <si>
    <t>CGI58|IECN2|NCIE2</t>
  </si>
  <si>
    <t>DERM (AR);METAB (AR);MR (AR);OMIM (AR);PCS (AR)</t>
  </si>
  <si>
    <t>ABL1</t>
  </si>
  <si>
    <t>ABL|BCR-ABL|CHDSKM|JTK7|bcr/abl|c-ABL|c-ABL1|p150|v-abl</t>
  </si>
  <si>
    <t>ANEURYSM (AD);HART (AD);OMIM (AD;UK,AR,AD,XL)</t>
  </si>
  <si>
    <t>ACACA</t>
  </si>
  <si>
    <t>ACAC|ACACAD|ACC|ACC1|ACCA</t>
  </si>
  <si>
    <t>METAB (AR);OMIM (AR);PCS (AR)</t>
  </si>
  <si>
    <t>ACAD8</t>
  </si>
  <si>
    <t>ACAD-8|ARC42|IBDH</t>
  </si>
  <si>
    <t>HART (AR);METAB (AR);OMIM (AR;UK,AR,AD,XL);PCS (AR)</t>
  </si>
  <si>
    <t>ACAD9</t>
  </si>
  <si>
    <t>MC1DN20|NPD002</t>
  </si>
  <si>
    <t>HART (AR);METAB (AR);MR (AR);OMIM (AR);OXPHOS (AR);PCS (AR)</t>
  </si>
  <si>
    <t>ACADM</t>
  </si>
  <si>
    <t>ACAD1|MCAD|MCADH</t>
  </si>
  <si>
    <t>ACADS</t>
  </si>
  <si>
    <t>ACAD3|SCAD</t>
  </si>
  <si>
    <t>ACADSB</t>
  </si>
  <si>
    <t>2-MEBCAD|ACAD7|SBCAD</t>
  </si>
  <si>
    <t>ACADVL</t>
  </si>
  <si>
    <t>ACAD6|LCACD|VLCAD</t>
  </si>
  <si>
    <t>HART (AR);METAB (AR);OMIM (AR);PCS (AR);SPIER (AR)</t>
  </si>
  <si>
    <t>ACAN</t>
  </si>
  <si>
    <t>AGC1|AGCAN|CSPG1|CSPGCP|MSK16|SEDK|SSOAOD</t>
  </si>
  <si>
    <t>LENGTE (AD,AR);OMIM (AD,AR);PCS (AR)</t>
  </si>
  <si>
    <t>ACAT1</t>
  </si>
  <si>
    <t>ACAT|MAT|T2|THIL</t>
  </si>
  <si>
    <t>ACAT2</t>
  </si>
  <si>
    <t>ACBD5</t>
  </si>
  <si>
    <t>RDLKD</t>
  </si>
  <si>
    <t>BLIND (AR);BMF (AD);HEMOS (AD);METAB (AR);OMIM (AD;AR)</t>
  </si>
  <si>
    <t>ACD</t>
  </si>
  <si>
    <t>PIP1|PTOP|TINT1|TPP1</t>
  </si>
  <si>
    <t>BMF (AD,AR);DERM (AD);DKC (AD,AR);IMMUUN (AD,AR);MELANOOM (AD,AR);OMIM (AR;AD,AR);PCS (AR);TUMOR (AD,AR)</t>
  </si>
  <si>
    <t>ACE</t>
  </si>
  <si>
    <t>ACE1|CD143|DCP|DCP1</t>
  </si>
  <si>
    <t>ANEURYSM (AD);NIER (AR);OMIM (AR;AD);PCS (AR)</t>
  </si>
  <si>
    <t>ACER3</t>
  </si>
  <si>
    <t>APHC|PHCA|PLDECO</t>
  </si>
  <si>
    <t>ACO2</t>
  </si>
  <si>
    <t>ACONM|HEL-S-284|ICRD|OCA8|OPA9</t>
  </si>
  <si>
    <t>BLIND (AR);METAB (AR);MR (AR);OMIM (AR);OXPHOS (AR);PCS (AR)</t>
  </si>
  <si>
    <t>ACOX1</t>
  </si>
  <si>
    <t>ACOX|MITCH|PALMCOX|SCOX</t>
  </si>
  <si>
    <t>ACOX2</t>
  </si>
  <si>
    <t>BCOX|BRCACOX|BRCOX|CBAS6|THCCox</t>
  </si>
  <si>
    <t>ACP4</t>
  </si>
  <si>
    <t>ACPT|AI1J</t>
  </si>
  <si>
    <t>CFA (AR);OMIM (AR)</t>
  </si>
  <si>
    <t>ACP5</t>
  </si>
  <si>
    <t>HPAP|TRACP5a|TRACP5b|TRAP|TrATPase</t>
  </si>
  <si>
    <t>IMMUUN (AD,AR);LENGTE (AR);OMIM (AD,AR);PCS (AR)</t>
  </si>
  <si>
    <t>ACSF3</t>
  </si>
  <si>
    <t>HART (AR);METAB (AR);MR (AR);OMIM (AR;UK,AR,AD,XL);PCS (AR)</t>
  </si>
  <si>
    <t>ACSL4</t>
  </si>
  <si>
    <t>ACS4|FACL4|LACS4|MRX63|MRX68</t>
  </si>
  <si>
    <t>METAB (XL);MR (XL);OMIM (XL)</t>
  </si>
  <si>
    <t>ACSL6</t>
  </si>
  <si>
    <t>ACS2|FACL6|LACS 6|LACS2|LACS5</t>
  </si>
  <si>
    <t>ACTA1</t>
  </si>
  <si>
    <t>ACTA|ASMA|CFTD|CFTD1|CFTDM|MPFD|NEM1|NEM2|NEM3|SHPM</t>
  </si>
  <si>
    <t>AKI (AD,AR);OMIM (AD;AD,AR);OXPHOS (AD);PCS (AR);SPIER (AD)</t>
  </si>
  <si>
    <t>ACTA2</t>
  </si>
  <si>
    <t>ACTSA</t>
  </si>
  <si>
    <t>ANEURYSM (AD);DERM (AD);HART (AD);LEVER (AD);OMIM (AD)</t>
  </si>
  <si>
    <t>ACTB</t>
  </si>
  <si>
    <t>BRWS1|PS1TP5BP1</t>
  </si>
  <si>
    <t>BEWEGING (AD);DERM (AD);DOOF (AD);EPI (AD);HEMOS (AD);IMMUUN (AD);LENGTE (AD);MR (AD);OMIM (AD);SCHISIS (AD)</t>
  </si>
  <si>
    <t>ACTC1</t>
  </si>
  <si>
    <t>ACTC|ASD5|CMD1R|CMH11|LVNC4</t>
  </si>
  <si>
    <t>CHD (AD);HART (AD);OMIM (AD)</t>
  </si>
  <si>
    <t>ACTG1</t>
  </si>
  <si>
    <t>ACT|ACTG|DFNA20|DFNA26|HEL-176</t>
  </si>
  <si>
    <t>DOOF (AD);MR (AD);OMIM (AD);SCHISIS (AD)</t>
  </si>
  <si>
    <t>ACTG2</t>
  </si>
  <si>
    <t>ACT|ACTA3|ACTE|ACTL3|ACTSG|VSCM</t>
  </si>
  <si>
    <t>LEVER (AD);OMIM (AD)</t>
  </si>
  <si>
    <t>ACTL6A</t>
  </si>
  <si>
    <t>ACTL6|ARPN-BETA|Arp4|BAF53A|INO80K</t>
  </si>
  <si>
    <t>MR (AD);OMIM (AD)</t>
  </si>
  <si>
    <t>ACTL6B</t>
  </si>
  <si>
    <t>ACTL6|BAF53B|DEE76|EIEE76|IDDSSAD|arpNalpha</t>
  </si>
  <si>
    <t>EPI (AD);MR (AD,AR);OMIM (AD;AR;AD,AR);PCS (AR)</t>
  </si>
  <si>
    <t>ACTN1</t>
  </si>
  <si>
    <t>BDPLT15</t>
  </si>
  <si>
    <t>ACTN2</t>
  </si>
  <si>
    <t>CMD1AA|CMH23|MPD6|MYOCOZ</t>
  </si>
  <si>
    <t>HART (AD);OMIM (AD)</t>
  </si>
  <si>
    <t>ACTN4</t>
  </si>
  <si>
    <t>ACTININ-4|FSGS|FSGS1</t>
  </si>
  <si>
    <t>NIER (AD);OMIM (AD)</t>
  </si>
  <si>
    <t>ACVR1</t>
  </si>
  <si>
    <t>ACTRI|ACVR1A|ACVRLK2|ALK2|FOP|SKR1|TSRI</t>
  </si>
  <si>
    <t>IJZER (UK,AR,AD,XL);LENGTE (AD);MR (AD);OMIM (AD;UK,AR,AD,XL);SPIER (AD)</t>
  </si>
  <si>
    <t>ACVR1B</t>
  </si>
  <si>
    <t>ACTRIB|ACVRLK4|ALK4|SKR2</t>
  </si>
  <si>
    <t>ACVR2B</t>
  </si>
  <si>
    <t>ACTRIIB|ActR-IIB|HTX4</t>
  </si>
  <si>
    <t>CHD (AD);CILIO (AD);HART (AD);OMIM (AD;UK,AR,AD,XL)</t>
  </si>
  <si>
    <t>ACVRL1</t>
  </si>
  <si>
    <t>ACVRLK1|ALK-1|ALK1|HHT|HHT2|ORW2|SKR3|TSR-I</t>
  </si>
  <si>
    <t>ANEURYSM (AD);DERM (AD);HEMOS (AD);OMIM (AD)</t>
  </si>
  <si>
    <t>ACY1</t>
  </si>
  <si>
    <t>ACY-1|ACY1D|HEL-S-5</t>
  </si>
  <si>
    <t>EPI (AR);METAB (AR);MR (AR);OMIM (AR);PCS (AR)</t>
  </si>
  <si>
    <t>ADA</t>
  </si>
  <si>
    <t>ADA1</t>
  </si>
  <si>
    <t>IMMUUN (AR);METAB (AR);OMIM (AR;UK,AR,AD,XL);PCS (AR);SCID (AR)</t>
  </si>
  <si>
    <t>ADA2</t>
  </si>
  <si>
    <t>ADGF|CECR1|IDGFL|PAN|SNEDS|VAIHS</t>
  </si>
  <si>
    <t>ANEURYSM (AD);DERM (AR);IMMUUN (AR);OMIM (AR;AD);PCS (AR)</t>
  </si>
  <si>
    <t>ADAM10</t>
  </si>
  <si>
    <t>AD10|AD18|CD156c|CDw156|HsT18717|MADM|RAK|kuz</t>
  </si>
  <si>
    <t>ADAM17</t>
  </si>
  <si>
    <t>ADAM18|CD156B|CSVP|NISBD|NISBD1|TACE</t>
  </si>
  <si>
    <t>DERM (AR);IMMUUN (AR);OMIM (AR);PCS (AR)</t>
  </si>
  <si>
    <t>ADAM22</t>
  </si>
  <si>
    <t>ADAM 22|DEE61|EIEE61|MDC2</t>
  </si>
  <si>
    <t>MR (AR);OMIM (AR);PCS (AR)</t>
  </si>
  <si>
    <t>ADAM9</t>
  </si>
  <si>
    <t>CORD9|MCMP|MDC9|Mltng</t>
  </si>
  <si>
    <t>ADAMTS10</t>
  </si>
  <si>
    <t>ADAM-TS10|ADAMTS-10|WMS|WMS1</t>
  </si>
  <si>
    <t>DERM (AR);LENGTE (AR);OMIM (AR);OXPHOS (AR);PCS (AR)</t>
  </si>
  <si>
    <t>ADAMTS13</t>
  </si>
  <si>
    <t>ADAM-TS13|ADAMTS-13|C9orf8|VWFCP|vWF-CP</t>
  </si>
  <si>
    <t>HEMOS (AR);NIER (AR);OMIM (AR);PCS (AR)</t>
  </si>
  <si>
    <t>ADAMTS17</t>
  </si>
  <si>
    <t>WMS4</t>
  </si>
  <si>
    <t>DERM (AR);LENGTE (AR);OMIM (AR);PCS (AR)</t>
  </si>
  <si>
    <t>ADAMTS18</t>
  </si>
  <si>
    <t>ADAMTS21|KNO2|MMCAT</t>
  </si>
  <si>
    <t>ADAMTS19</t>
  </si>
  <si>
    <t>HART (AR);OMIM (AR)</t>
  </si>
  <si>
    <t>ADAMTS2</t>
  </si>
  <si>
    <t>ADAM-TS2|ADAMTS-2|ADAMTS-3|EDSDERMS|NPI|PC I-NP|PCI-NP|PCINP|PCPNI|PNPI</t>
  </si>
  <si>
    <t>DERM (AR);OMIM (AR);PCS (AR)</t>
  </si>
  <si>
    <t>ADAMTS3</t>
  </si>
  <si>
    <t>ADAMTS-4|HKLLS3</t>
  </si>
  <si>
    <t>ADAMTS9</t>
  </si>
  <si>
    <t>CILIO (AR);NIER (AR);OMIM (AR)</t>
  </si>
  <si>
    <t>ADAMTSL2</t>
  </si>
  <si>
    <t>ADAMTSL-2|GPHYSD1</t>
  </si>
  <si>
    <t>ADAMTSL4</t>
  </si>
  <si>
    <t>ADAMTSL-4|ECTOL2|TSRC1</t>
  </si>
  <si>
    <t>ANEURYSM (AR);BLIND (AR);CFA (AR);OMIM (AR);PCS (AR)</t>
  </si>
  <si>
    <t>ADAR</t>
  </si>
  <si>
    <t>ADAR1|AGS6|DRADA|DSH|DSRAD|G1P1|IFI-4|IFI4|K88DSRBP|P136</t>
  </si>
  <si>
    <t>BEWEGING (AR);DERM (AD,AR);IMMUUN (AR);MR (AR);OMIM (AR;AD,AR);PCS (AR)</t>
  </si>
  <si>
    <t>ADARB1</t>
  </si>
  <si>
    <t>ADAR2|DRABA2|DRADA2|NEDHYMS|RED1</t>
  </si>
  <si>
    <t>ADAT3</t>
  </si>
  <si>
    <t>FWP005|MRT36|MST121|MSTP121|S863-5|TAD3</t>
  </si>
  <si>
    <t>ADCK2</t>
  </si>
  <si>
    <t>AARF</t>
  </si>
  <si>
    <t>OMIM (AR);OXPHOS (AR)</t>
  </si>
  <si>
    <t>ADCK5</t>
  </si>
  <si>
    <t>ADCY1</t>
  </si>
  <si>
    <t>AC1|DFNB44</t>
  </si>
  <si>
    <t>DOOF (AR);OMIM (AR);PCS (AR)</t>
  </si>
  <si>
    <t>ADCY10</t>
  </si>
  <si>
    <t>HCA2|HEL-S-7a|SAC|SACI|Sacy|hsAC</t>
  </si>
  <si>
    <t>ADCY3</t>
  </si>
  <si>
    <t>AC-III|AC3|BMIQ19</t>
  </si>
  <si>
    <t>DSD (AR);HH (AR);OMIM (AR)</t>
  </si>
  <si>
    <t>ADCY5</t>
  </si>
  <si>
    <t>AC5|FDFM</t>
  </si>
  <si>
    <t>BEWEGING (AD);HART (AD);METAB (AR);OMIM (AD;AR)</t>
  </si>
  <si>
    <t>ADCY6</t>
  </si>
  <si>
    <t>AC6|LCCS8</t>
  </si>
  <si>
    <t>AKI (AR);OMIM (AR);PCS (AR)</t>
  </si>
  <si>
    <t>ADD3</t>
  </si>
  <si>
    <t>ADDL|CPSQ3</t>
  </si>
  <si>
    <t>ADGRE2</t>
  </si>
  <si>
    <t>CD312|CD97|EMR2|VBU</t>
  </si>
  <si>
    <t>OMIM (AD)</t>
  </si>
  <si>
    <t>ADGRG1</t>
  </si>
  <si>
    <t>BFPP|BPPR|GPR56|TM7LN4|TM7XN1</t>
  </si>
  <si>
    <t>BEWEGING (AR);MR (AR);OMIM (AR);PCS (AR)</t>
  </si>
  <si>
    <t>ADGRG2</t>
  </si>
  <si>
    <t>CBAVDX|EDDM6|GPR64|HE6|TM7LN2</t>
  </si>
  <si>
    <t>OMIM (XL)</t>
  </si>
  <si>
    <t>ADGRG6</t>
  </si>
  <si>
    <t>APG1|DREG|GPR126|LCCS9|PR126|PS1TP2|VIGR</t>
  </si>
  <si>
    <t>ADGRV1</t>
  </si>
  <si>
    <t>FEB4|GPR98|MASS1|USH2B|USH2C|VLGR1|VLGR1b</t>
  </si>
  <si>
    <t>BLIND (AR);DOOF (AR);OMIM (AD,AR);PCS (AR)</t>
  </si>
  <si>
    <t>ADIPOQ</t>
  </si>
  <si>
    <t>ACDC|ACRP30|ADIPQTL1|ADPN|APM-1|APM1|GBP28</t>
  </si>
  <si>
    <t>ANEURYSM (AR);OMIM (UK,AR,AD,XL)</t>
  </si>
  <si>
    <t>ADIPOR1</t>
  </si>
  <si>
    <t>ACDCR1|CGI-45|CGI45|PAQR1|TESBP1A</t>
  </si>
  <si>
    <t>BLIND (AD);OMIM (AD)</t>
  </si>
  <si>
    <t>ADK</t>
  </si>
  <si>
    <t>AK</t>
  </si>
  <si>
    <t>LEVER (AR);METAB (AR);MR (AR);OMIM (AR);PCS (AR)</t>
  </si>
  <si>
    <t>ADNP</t>
  </si>
  <si>
    <t>ADNP1|HVDAS|MRD28</t>
  </si>
  <si>
    <t>ADPRS</t>
  </si>
  <si>
    <t>ADPRHL2|ARH3|CONDSIAS</t>
  </si>
  <si>
    <t>BEWEGING (AR);HMSN (AR);MR (AR);OMIM (AR);OXPHOS (AR);PCS (AR)</t>
  </si>
  <si>
    <t>ADRB2</t>
  </si>
  <si>
    <t>ADRB2R|ADRBR|B2AR|BAR|BETA2AR</t>
  </si>
  <si>
    <t>ADSL</t>
  </si>
  <si>
    <t>AMPS|ASASE|ASL</t>
  </si>
  <si>
    <t>ADSS1</t>
  </si>
  <si>
    <t>ADSSL1|MPD5</t>
  </si>
  <si>
    <t>AEBP1</t>
  </si>
  <si>
    <t>ACLP</t>
  </si>
  <si>
    <t>OMIM (AR;AD);PCS (AR)</t>
  </si>
  <si>
    <t>AFF2</t>
  </si>
  <si>
    <t>FMR2|FMR2P|FRAXE|MRX2|OX19</t>
  </si>
  <si>
    <t>MR (XL);OMIM (XL;XLR)</t>
  </si>
  <si>
    <t>AFF4</t>
  </si>
  <si>
    <t>AF5Q31|CHOPS|MCEF</t>
  </si>
  <si>
    <t>AFG3L2</t>
  </si>
  <si>
    <t>OPA12|SCA28|SPAX5</t>
  </si>
  <si>
    <t>BEWEGING (AD);BLIND (AD);HMSN (AR);MR (AR);OMIM (AR;AD,AR);OXPHOS (AR);PCS (AR)</t>
  </si>
  <si>
    <t>AFP</t>
  </si>
  <si>
    <t>AFPD|FETA|HPAFP</t>
  </si>
  <si>
    <t>AGA</t>
  </si>
  <si>
    <t>AGU|ASRG|GA</t>
  </si>
  <si>
    <t>BEWEGING (AR);DERM (AR);EPI (AR);IMMUUN (AR);LENGTE (AR);METAB (AR);MR (AR);OMIM (AR);PCS (AR)</t>
  </si>
  <si>
    <t>AGBL1</t>
  </si>
  <si>
    <t>CCP4|FECD8</t>
  </si>
  <si>
    <t>AGBL5</t>
  </si>
  <si>
    <t>CCP5|RP75</t>
  </si>
  <si>
    <t>AGK</t>
  </si>
  <si>
    <t>CATC5|CTRCT38|MTDPS10|MULK</t>
  </si>
  <si>
    <t>BLIND (AR);HART (AR);METAB (AR);OMIM (AR);OXPHOS (AR);PCS (AR)</t>
  </si>
  <si>
    <t>AGL</t>
  </si>
  <si>
    <t>GDE</t>
  </si>
  <si>
    <t>AGMO</t>
  </si>
  <si>
    <t>TMEM195</t>
  </si>
  <si>
    <t>AGO2</t>
  </si>
  <si>
    <t>CASC7|EIF2C2|LESKRES|LINC00980|PPD|Q10</t>
  </si>
  <si>
    <t>AGPAT2</t>
  </si>
  <si>
    <t>1-AGPAT2|BSCL|BSCL1|LPAAB|LPAAT-beta</t>
  </si>
  <si>
    <t>DERM (AR);HART (AR);METAB (AR);OMIM (AR);PCS (AR)</t>
  </si>
  <si>
    <t>AGPS</t>
  </si>
  <si>
    <t>ADAP-S|ADAS|ADHAPS|ADPS|ALDHPSY|RCDP3</t>
  </si>
  <si>
    <t>LENGTE (AR);METAB (AR);OMIM (AR);PCS (AR)</t>
  </si>
  <si>
    <t>AGRN</t>
  </si>
  <si>
    <t>AGRIN|CMS8|CMSPPD</t>
  </si>
  <si>
    <t>HMSN (AR);OMIM (AR);PCS (AR);SPIER (AR)</t>
  </si>
  <si>
    <t>AGT</t>
  </si>
  <si>
    <t>ANHU|SERPINA8|hFLT1</t>
  </si>
  <si>
    <t>NIER (AR);OMIM (AR);PCS (AR)</t>
  </si>
  <si>
    <t>AGTPBP1</t>
  </si>
  <si>
    <t>CCP1|CONDCA|NNA1</t>
  </si>
  <si>
    <t>BEWEGING (AR);HMSN (AR);MR (AR);OMIM (AR);PCS (AR)</t>
  </si>
  <si>
    <t>AGTR1</t>
  </si>
  <si>
    <t>AG2S|AGTR1B|AT1|AT1AR|AT1B|AT1BR|AT1R|AT2R1|HAT1R</t>
  </si>
  <si>
    <t>AGXT</t>
  </si>
  <si>
    <t>AGT|AGT1|AGXT1|PH1|SPAT|SPT|TLH6</t>
  </si>
  <si>
    <t>METAB (AR);NIER (AR);OMIM (AR);PCS (AR)</t>
  </si>
  <si>
    <t>AHCY</t>
  </si>
  <si>
    <t>SAHH|adoHcyase</t>
  </si>
  <si>
    <t>AHDC1</t>
  </si>
  <si>
    <t>MRD25|XIGIS</t>
  </si>
  <si>
    <t>AHI1</t>
  </si>
  <si>
    <t>AHI-1|JBTS3|ORF1|dJ71N10.1</t>
  </si>
  <si>
    <t>BLIND (AR);CILIO (AR);MR (AR);NIER (AR);OMIM (AR);PCS (AR)</t>
  </si>
  <si>
    <t>AHR</t>
  </si>
  <si>
    <t>RP85|bHLHe76</t>
  </si>
  <si>
    <t>AHSG</t>
  </si>
  <si>
    <t>A2HS|AHS|APMR1|FETUA|HSGA</t>
  </si>
  <si>
    <t>AICDA</t>
  </si>
  <si>
    <t>AID|ARP2|CDA2|HEL-S-284|HIGM2</t>
  </si>
  <si>
    <t>IMMUUN (AD,AR);OMIM (AR;AD,AR);PCS (AR)</t>
  </si>
  <si>
    <t>AIFM1</t>
  </si>
  <si>
    <t>AIF|AUNX1|CMT2D|CMTX4|COWCK|COXPD6|DFNX5|NADMR|NAMSD|PDCD8|SEMDHL</t>
  </si>
  <si>
    <t>DOOF (XL);HMSN (XL);LENGTE (XL);MR (XLR);OMIM (XLR);OXPHOS (XL)</t>
  </si>
  <si>
    <t>AIMP1</t>
  </si>
  <si>
    <t>EMAP2|EMAPII|HLD3|SCYE1|p43</t>
  </si>
  <si>
    <t>AIMP2</t>
  </si>
  <si>
    <t>HLD17|JTV-1|JTV1|P38</t>
  </si>
  <si>
    <t>AIP</t>
  </si>
  <si>
    <t>ARA9|FKBP16|FKBP37|PITA1|SMTPHN|XAP-2|XAP2</t>
  </si>
  <si>
    <t>OMIM (UK,AR,AD,XL);TUMOR (AD)</t>
  </si>
  <si>
    <t>AIPL1</t>
  </si>
  <si>
    <t>AIPL2|LCA4</t>
  </si>
  <si>
    <t>AIRE</t>
  </si>
  <si>
    <t>AIRE1|APECED|APS1|APSI|PGA1</t>
  </si>
  <si>
    <t>DERM (AD,AR);DSD (AD,AR);IMMUUN (AD,AR);OMIM (AR;AD,AR);PCS (AR)</t>
  </si>
  <si>
    <t>AK1</t>
  </si>
  <si>
    <t>HTL-S-58j</t>
  </si>
  <si>
    <t>AK2</t>
  </si>
  <si>
    <t>ADK2</t>
  </si>
  <si>
    <t>IMMUUN (AR);METAB (AR);OMIM (AR);PCS (AR);SCID (AR)</t>
  </si>
  <si>
    <t>AK7</t>
  </si>
  <si>
    <t>AK 7|CFAP75|FAP75|SPGF27</t>
  </si>
  <si>
    <t>AKAP9</t>
  </si>
  <si>
    <t>AKAP-9|AKAP350|AKAP450|CG-NAP|HYPERION|LQT11|MU-RMS-40.16A|PPP1R45|PRKA9|YOTIAO</t>
  </si>
  <si>
    <t>AKR1C1</t>
  </si>
  <si>
    <t>2-ALPHA-HSD|20-ALPHA-HSD|C9|DD1|DD1/DD2|DDH|DDH1|H-37|HAKRC|HBAB|MBAB</t>
  </si>
  <si>
    <t>METAB (AD);OMIM (AD)</t>
  </si>
  <si>
    <t>AKR1C2</t>
  </si>
  <si>
    <t>AKR1C-pseudo|BABP|DD|DD-2|DD/BABP|DD2|DDH2|HAKRD|HBAB|MCDR2|SRXY8|TDD</t>
  </si>
  <si>
    <t>DSD (AR);OMIM (AR)</t>
  </si>
  <si>
    <t>AKR1D1</t>
  </si>
  <si>
    <t>3o5bred|CBAS2|SRD5B1</t>
  </si>
  <si>
    <t>AKT1</t>
  </si>
  <si>
    <t>AKT|PKB|PKB-ALPHA|PRKBA|RAC|RAC-ALPHA</t>
  </si>
  <si>
    <t>DERM (AD);OMIM (UK,AR,AD,XL);TUMOR (AD)</t>
  </si>
  <si>
    <t>AKT2</t>
  </si>
  <si>
    <t>HIHGHH|PKBB|PKBBETA|PRKBB|RAC-BETA</t>
  </si>
  <si>
    <t>AKT3</t>
  </si>
  <si>
    <t>MPPH|MPPH2|PKB-GAMMA|PKBG|PRKBG|RAC-PK-gamma|RAC-gamma|STK-2</t>
  </si>
  <si>
    <t>DERM (AD);MR (AD);OMIM (AD)</t>
  </si>
  <si>
    <t>ALAD</t>
  </si>
  <si>
    <t>ALADH|PBGS</t>
  </si>
  <si>
    <t>DERM (AR);METAB (AR);OMIM (AR);PCS (AR)</t>
  </si>
  <si>
    <t>ALAS2</t>
  </si>
  <si>
    <t>ALAS-E|ALASE|ANH1|ASB|SIDBA1|XLDPP|XLEPP|XLSA</t>
  </si>
  <si>
    <t>DERM (XL);IJZER (XL);METAB (XL);OMIM (XL)</t>
  </si>
  <si>
    <t>ALB</t>
  </si>
  <si>
    <t>HSA|PRO0883|PRO0903|PRO1341</t>
  </si>
  <si>
    <t>OMIM (AR;UK,AR,AD,XL);PCS (AR)</t>
  </si>
  <si>
    <t>ALDH18A1</t>
  </si>
  <si>
    <t>ADCL3|ARCL3A|GSAS|P5CS|PYCS|SPG9|SPG9A|SPG9B</t>
  </si>
  <si>
    <t>BEWEGING (AD,AR);BLIND (AD,AR);DERM (AR);METAB (AR);MR (AR);OMIM (AD,AR);PCS (AR)</t>
  </si>
  <si>
    <t>ALDH1A2</t>
  </si>
  <si>
    <t>RALDH(II)|RALDH2|RALDH2-T</t>
  </si>
  <si>
    <t>ALDH1A3</t>
  </si>
  <si>
    <t>ALDH1A6|ALDH6|MCOP8|RALDH3</t>
  </si>
  <si>
    <t>BLIND (AR);METAB (AR);OMIM (AR);PCS (AR)</t>
  </si>
  <si>
    <t>ALDH1B1</t>
  </si>
  <si>
    <t>ALDH5|ALDHX</t>
  </si>
  <si>
    <t>ALDH2</t>
  </si>
  <si>
    <t>ALDH-E2|ALDHI|ALDM</t>
  </si>
  <si>
    <t>METAB (AR);OMIM (AD;AR)</t>
  </si>
  <si>
    <t>ALDH3A2</t>
  </si>
  <si>
    <t>ALDH10|FALDH|SLS</t>
  </si>
  <si>
    <t>BEWEGING (AR);DERM (AR);METAB (AR);MR (AR);OMIM (AR);PCS (AR)</t>
  </si>
  <si>
    <t>ALDH4A1</t>
  </si>
  <si>
    <t>ALDH4|P5CD|P5CDh</t>
  </si>
  <si>
    <t>ALDH5A1</t>
  </si>
  <si>
    <t>SSADH|SSDH</t>
  </si>
  <si>
    <t>BEWEGING (AR);EPI (AR);METAB (AR);MR (AR);OMIM (AR);PCS (AR)</t>
  </si>
  <si>
    <t>ALDH6A1</t>
  </si>
  <si>
    <t>MMSADHA|MMSDH</t>
  </si>
  <si>
    <t>ALDH7A1</t>
  </si>
  <si>
    <t>ATQ1|EPD|PDE</t>
  </si>
  <si>
    <t>ALDOA</t>
  </si>
  <si>
    <t>ALDA|GSD12|HEL-S-87p</t>
  </si>
  <si>
    <t>ALDOB</t>
  </si>
  <si>
    <t>ALDB|ALDO2</t>
  </si>
  <si>
    <t>DERM (AR);LEVER (AR);METAB (AR);NIER (AR);OMIM (AR);PCS (AR)</t>
  </si>
  <si>
    <t>ALG1</t>
  </si>
  <si>
    <t>CDG1K|HMAT1|HMT-1|HMT1|MT-1|Mat-1|hMat-1</t>
  </si>
  <si>
    <t>EPI (AR);METAB (AR);MR (AR);NIER (AR);OMIM (AR);PCS (AR)</t>
  </si>
  <si>
    <t>ALG10</t>
  </si>
  <si>
    <t>ALG10A|DIE2|KCR1</t>
  </si>
  <si>
    <t>ALG11</t>
  </si>
  <si>
    <t>CDG1P|GT8</t>
  </si>
  <si>
    <t>ALG12</t>
  </si>
  <si>
    <t>CDG1G|ECM39|PP14673|hALG12</t>
  </si>
  <si>
    <t>LENGTE (AR);METAB (AR);MR (AR);OMIM (AR);PCS (AR)</t>
  </si>
  <si>
    <t>ALG13</t>
  </si>
  <si>
    <t>CDG1S|CXorf45|DEE36|EIEE36|GLT28D1|MDS031|TDRD13|YGL047W</t>
  </si>
  <si>
    <t>EPI (XL);IMMUUN (XL);METAB (XL);MR (XL);OMIM (XL)</t>
  </si>
  <si>
    <t>ALG14</t>
  </si>
  <si>
    <t>CMS15|IDDEBF|MEPCA</t>
  </si>
  <si>
    <t>ALG2</t>
  </si>
  <si>
    <t>CDG1I|CDGIi|CMS14|CMSTA3|NET38|hALPG2</t>
  </si>
  <si>
    <t>ALG3</t>
  </si>
  <si>
    <t>CDG1D|CDGS4|CDGS6|D16Ertd36e|NOT56L|Not56|not</t>
  </si>
  <si>
    <t>AKI (AR);EPI (AR);LENGTE (AR);METAB (AR);MR (AR);OMIM (AR);PCS (AR)</t>
  </si>
  <si>
    <t>ALG6</t>
  </si>
  <si>
    <t>CDG1C</t>
  </si>
  <si>
    <t>ALG8</t>
  </si>
  <si>
    <t>CDG1H|PCLD3</t>
  </si>
  <si>
    <t>LEVER (AD,AR);METAB (AR);MR (AR);NIER (AR);OMIM (AR;AD,AR);PCS (AR)</t>
  </si>
  <si>
    <t>ALG9</t>
  </si>
  <si>
    <t>CDG1L|DIBD1|GIKANIS|LOH11CR1J</t>
  </si>
  <si>
    <t>LENGTE (AR);METAB (AR);MR (AR);NIER (AD);OMIM (AR;AD);PCS (AR)</t>
  </si>
  <si>
    <t>ALK</t>
  </si>
  <si>
    <t>CD246|NBLST3</t>
  </si>
  <si>
    <t>ALKBH1</t>
  </si>
  <si>
    <t>ABH|ABH1|ALKBH|alkB|hABH</t>
  </si>
  <si>
    <t>ALKBH8</t>
  </si>
  <si>
    <t>ABH8|MRT71|TRM9|TRMT9|TRMT9A</t>
  </si>
  <si>
    <t>ALMS1</t>
  </si>
  <si>
    <t>ALSS</t>
  </si>
  <si>
    <t>BLIND (AR);CILIO (AR);DOOF (AR);HART (AR);LENGTE (AR);MR (AR);NIER (AR);OMIM (AR);PCS (AR)</t>
  </si>
  <si>
    <t>ALOX12B</t>
  </si>
  <si>
    <t>12R-LOX|ARCI2</t>
  </si>
  <si>
    <t>ALOXE3</t>
  </si>
  <si>
    <t>ARCI3|E-LOX|eLOX-3|eLOX3</t>
  </si>
  <si>
    <t>ALPI</t>
  </si>
  <si>
    <t>IAP</t>
  </si>
  <si>
    <t>IMMUUN (AR);OMIM (AR)</t>
  </si>
  <si>
    <t>ALPK3</t>
  </si>
  <si>
    <t>CMH27|MAK|MIDORI</t>
  </si>
  <si>
    <t>HART (AD,AR);OMIM (AR;AD,AR);PCS (AR)</t>
  </si>
  <si>
    <t>ALPL</t>
  </si>
  <si>
    <t>AP-TNAP|APTNAP|HOPS|TNALP|TNAP|TNSALP</t>
  </si>
  <si>
    <t>DERM (AD,AR);LENGTE (AD,AR);METAB (AR);OMIM (AD,AR);PCS (AR)</t>
  </si>
  <si>
    <t>ALS2</t>
  </si>
  <si>
    <t>ALS2CR6|ALSJ|IAHSP|PLSJ</t>
  </si>
  <si>
    <t>ALS (AR);BEWEGING (AR);OMIM (AR);PCS (AR)</t>
  </si>
  <si>
    <t>ALX1</t>
  </si>
  <si>
    <t>CART1|FND3|HEL23</t>
  </si>
  <si>
    <t>CFA (AR);LENGTE (AR);OMIM (AR;UK,AR,AD,XL);PCS (AR);SCHISIS (AR)</t>
  </si>
  <si>
    <t>ALX3</t>
  </si>
  <si>
    <t>FND|FND1</t>
  </si>
  <si>
    <t>CFA (AD);LENGTE (AR);MR (AR);OMIM (AR;AD);PCS (AR);SCHISIS (AR)</t>
  </si>
  <si>
    <t>ALX4</t>
  </si>
  <si>
    <t>CRS5|FND2</t>
  </si>
  <si>
    <t>CFA (AD);DERM (AD,AR);LENGTE (AD,AR);MR (AR);OMIM (AD;AD,AR);PCS (AR)</t>
  </si>
  <si>
    <t>AMACR</t>
  </si>
  <si>
    <t>AMACRD|CBAS4|P504S|RACE|RM</t>
  </si>
  <si>
    <t>EPI (AR);HMSN (AR);LEVER (AR);METAB (AR);OMIM (AR);PCS (AR)</t>
  </si>
  <si>
    <t>AMBN</t>
  </si>
  <si>
    <t>AI1F</t>
  </si>
  <si>
    <t>CFA (AR);OMIM (AR);PCS (AR)</t>
  </si>
  <si>
    <t>AMELX</t>
  </si>
  <si>
    <t>AI1E|AIH1|ALGN|AMG|AMGL|AMGX</t>
  </si>
  <si>
    <t>CFA (XL);DERM (XL);OMIM (XL)</t>
  </si>
  <si>
    <t>AMER1</t>
  </si>
  <si>
    <t>FAM123B|OSCS|WTX</t>
  </si>
  <si>
    <t>CFA (XL);LENGTE (XL);MR (XL);OMIM (XL;AD);SCHISIS (AD)</t>
  </si>
  <si>
    <t>AMH</t>
  </si>
  <si>
    <t>MIF|MIS</t>
  </si>
  <si>
    <t>DSD (AR);OMIM (AR);TUMOR (AR)</t>
  </si>
  <si>
    <t>AMHR2</t>
  </si>
  <si>
    <t>AMHR|MISR2|MISRII|MRII</t>
  </si>
  <si>
    <t>AMMECR1</t>
  </si>
  <si>
    <t>AMMERC1|MFHIEN</t>
  </si>
  <si>
    <t>DOOF (XL);LENGTE (XL);MR (XL);OMIM (XLR);SCHISIS (XLR)</t>
  </si>
  <si>
    <t>AMN</t>
  </si>
  <si>
    <t>IGS2|PRO1028|amnionless</t>
  </si>
  <si>
    <t>BMF (AR);METAB (AR);NIER (AR);OMIM (AR);PCS (AR)</t>
  </si>
  <si>
    <t>AMPD1</t>
  </si>
  <si>
    <t>MAD|MADA|MMDD</t>
  </si>
  <si>
    <t>AMPD2</t>
  </si>
  <si>
    <t>PCH9|SPG63</t>
  </si>
  <si>
    <t>BEWEGING (AR);EPI (AR);MR (AR);OMIM (AR);PCS (AR)</t>
  </si>
  <si>
    <t>AMPD3</t>
  </si>
  <si>
    <t>AMT</t>
  </si>
  <si>
    <t>GCE|GCST|GCVT|NKH</t>
  </si>
  <si>
    <t>AMTN</t>
  </si>
  <si>
    <t>AI3B|UNQ689</t>
  </si>
  <si>
    <t>CFA (AD);OMIM (AD)</t>
  </si>
  <si>
    <t>ANAPC1</t>
  </si>
  <si>
    <t>APC1|MCPR|TSG24</t>
  </si>
  <si>
    <t>ANG</t>
  </si>
  <si>
    <t>ALS9|HEL168|RAA1|RNASE4|RNASE5</t>
  </si>
  <si>
    <t>ALS (AD);OMIM (AD;UK,AR,AD,XL)</t>
  </si>
  <si>
    <t>ANGPT1</t>
  </si>
  <si>
    <t>AGP1|AGPT|ANG1</t>
  </si>
  <si>
    <t>IMMUUN (AD);OMIM (AD)</t>
  </si>
  <si>
    <t>ANGPTL3</t>
  </si>
  <si>
    <t>ANG-5|ANGPT5|ANL3|FHBL2</t>
  </si>
  <si>
    <t>ANGPTL4</t>
  </si>
  <si>
    <t>ARP4|FIAF|HARP|HFARP|NL2|PGAR|TGQTL|UNQ171|pp1158</t>
  </si>
  <si>
    <t>ANK1</t>
  </si>
  <si>
    <t>ANK|SPH1|SPH2</t>
  </si>
  <si>
    <t>OMIM (AD,AR);PCS (AR)</t>
  </si>
  <si>
    <t>ANK2</t>
  </si>
  <si>
    <t>ANK-2|CFAP87|FAP87|LQT4|brank-2</t>
  </si>
  <si>
    <t>ANK3</t>
  </si>
  <si>
    <t>ANKYRIN-G|MRT37</t>
  </si>
  <si>
    <t>ANKH</t>
  </si>
  <si>
    <t>ANK|CCAL2|CMDJ|CPPDD|HANK|MANK|SLC62A1</t>
  </si>
  <si>
    <t>LENGTE (AD);MR (AR);OMIM (AD;AR);PCS (AR)</t>
  </si>
  <si>
    <t>ANKLE2</t>
  </si>
  <si>
    <t>KIAA0692|LEMD7|Lem4|MCPH16</t>
  </si>
  <si>
    <t>ANKRD1</t>
  </si>
  <si>
    <t>ALRP|C-193|CARP|CVARP|MCARP|bA320F15.2</t>
  </si>
  <si>
    <t>ANKRD11</t>
  </si>
  <si>
    <t>ANCO-1|ANCO1|LZ16|T13</t>
  </si>
  <si>
    <t>CFA (AD);DERM (AD);EPI (AD);LENGTE (AD);MR (AD);OMIM (AD);SCHISIS (AD)</t>
  </si>
  <si>
    <t>ANKRD26</t>
  </si>
  <si>
    <t>THC2|bA145E8.1</t>
  </si>
  <si>
    <t>BMF (AD);HEMOS (AD);OMIM (AD);TUMOR (AD)</t>
  </si>
  <si>
    <t>ANKS1B</t>
  </si>
  <si>
    <t>AIDA|AIDA-1|ANKS2|EB-1|EB1|cajalin-2</t>
  </si>
  <si>
    <t>ANKS6</t>
  </si>
  <si>
    <t>ANKRD14|NPHP16|PKDR1|SAMD6</t>
  </si>
  <si>
    <t>CILIO (AR);LEVER (AR);NIER (AR);OMIM (AR);PCS (AR)</t>
  </si>
  <si>
    <t>ANLN</t>
  </si>
  <si>
    <t>FSGS8|Scraps|scra</t>
  </si>
  <si>
    <t>DOOF (AD);NIER (AD);OMIM (AD)</t>
  </si>
  <si>
    <t>ANO10</t>
  </si>
  <si>
    <t>SCAR10|TMEM16K</t>
  </si>
  <si>
    <t>BEWEGING (AR);MR (AR);OMIM (AR);OXPHOS (AR);PCS (AR)</t>
  </si>
  <si>
    <t>ANO3</t>
  </si>
  <si>
    <t>C11orf25|DYT23|DYT24|GENX-3947|TMEM16C</t>
  </si>
  <si>
    <t>BEWEGING (AD);OMIM (AD)</t>
  </si>
  <si>
    <t>ANO5</t>
  </si>
  <si>
    <t>GDD1|LGMD2L|LGMDR12|TMEM16E</t>
  </si>
  <si>
    <t>LENGTE (AD);OMIM (AR;AD;AD,AR);PCS (AR);SPIER (AR)</t>
  </si>
  <si>
    <t>ANO6</t>
  </si>
  <si>
    <t>BDPLT7|SCTS|TMEM16F</t>
  </si>
  <si>
    <t>HEMOS (AR);OMIM (AR);PCS (AR)</t>
  </si>
  <si>
    <t>ANOS1</t>
  </si>
  <si>
    <t>ADMLX|HH1|HHA|KAL|KAL1|KALIG-1|KMS|WFDC19</t>
  </si>
  <si>
    <t>DERM (XL);DSD (XL);HH (XL);NIER (XLR);OMIM (XLR)</t>
  </si>
  <si>
    <t>ANTXR1</t>
  </si>
  <si>
    <t>ATR|GAPO|TEM8</t>
  </si>
  <si>
    <t>DERM (AD,AR);MR (AR);OMIM (AR;AD,AR);PCS (AR)</t>
  </si>
  <si>
    <t>ANTXR2</t>
  </si>
  <si>
    <t>CMG-2|CMG2|HFS|ISH|JHF</t>
  </si>
  <si>
    <t>ANXA11</t>
  </si>
  <si>
    <t>ALS23|ANX11|CAP-50|CAP50</t>
  </si>
  <si>
    <t>ALS (AD);OMIM (AD)</t>
  </si>
  <si>
    <t>AP1B1</t>
  </si>
  <si>
    <t>ADTB1|AP105A|BAM22|CLAPB2|KIDAR</t>
  </si>
  <si>
    <t>DERM (AR);DOOF (AR);OMIM (AR);PCS (AR)</t>
  </si>
  <si>
    <t>AP1S1</t>
  </si>
  <si>
    <t>AP19|CLAPS1|EKV3|MEDNIK|SIGMA1A</t>
  </si>
  <si>
    <t>AP1S2</t>
  </si>
  <si>
    <t>DC22|MRX59|MRXS21|MRXS5|MRXSF|PGS|SIGMA1B</t>
  </si>
  <si>
    <t>AP1S3</t>
  </si>
  <si>
    <t>PSORS15|sigma1C</t>
  </si>
  <si>
    <t>DERM (AD);IMMUUN (AD);OMIM (AD)</t>
  </si>
  <si>
    <t>AP2M1</t>
  </si>
  <si>
    <t>AP50|CLAPM1|MRD60|mu2</t>
  </si>
  <si>
    <t>AP2S1</t>
  </si>
  <si>
    <t>AP17|CLAPS2|FBH3|FBHOk|HHC3</t>
  </si>
  <si>
    <t>AP3B1</t>
  </si>
  <si>
    <t>ADTB3|ADTB3A|HPS|HPS2|PE</t>
  </si>
  <si>
    <t>BLIND (AR);DERM (AR);HEMOS (AR);IMMUUN (AR);MR (AR);OMIM (AR);PCS (AR)</t>
  </si>
  <si>
    <t>AP3B2</t>
  </si>
  <si>
    <t>DEE48|EIEE48|NAPTB</t>
  </si>
  <si>
    <t>AP3D1</t>
  </si>
  <si>
    <t>ADTD|HPS10|hBLVR</t>
  </si>
  <si>
    <t>BLIND (UK,AR,AD,XL);HEMOS (AR);IMMUUN (AR);MR (AR);OMIM (AR;UK,AR,AD,XL);PCS (AR)</t>
  </si>
  <si>
    <t>AP4B1</t>
  </si>
  <si>
    <t>BETA-4|CPSQ5|SPG47</t>
  </si>
  <si>
    <t>AP4E1</t>
  </si>
  <si>
    <t>CPSQ4|SPG51|STUT1</t>
  </si>
  <si>
    <t>BEWEGING (AR);MR (AR);OMIM (AR;AD,AR);PCS (AR)</t>
  </si>
  <si>
    <t>AP4M1</t>
  </si>
  <si>
    <t>CPSQ3|MU-4|MU-ARP2|SPG50</t>
  </si>
  <si>
    <t>AP4S1</t>
  </si>
  <si>
    <t>AP47B|CLA20|CLAPS4|CPSQ6|SPG52</t>
  </si>
  <si>
    <t>AP5Z1</t>
  </si>
  <si>
    <t>KIAA0415|SPG48|zeta</t>
  </si>
  <si>
    <t>APC</t>
  </si>
  <si>
    <t>BTPS2|DESMD|DP2|DP2.5|DP3|GS|PPP1R46</t>
  </si>
  <si>
    <t>DERM (AD);OMIM (AD);TUMOR (AD)</t>
  </si>
  <si>
    <t>APC2</t>
  </si>
  <si>
    <t>APCL</t>
  </si>
  <si>
    <t>LENGTE (AR);MR (AR);OMIM (AR);PCS (AR)</t>
  </si>
  <si>
    <t>APCDD1</t>
  </si>
  <si>
    <t>B7323|DRAPC1|FP7019|HHS|HTS|HYPT1</t>
  </si>
  <si>
    <t>APOA1</t>
  </si>
  <si>
    <t>HPALP2|apo(a)</t>
  </si>
  <si>
    <t>ANEURYSM (AD);OMIM (AD)</t>
  </si>
  <si>
    <t>APOA2</t>
  </si>
  <si>
    <t>Apo-AII|ApoA-II|apoAII</t>
  </si>
  <si>
    <t>APOA5</t>
  </si>
  <si>
    <t>APOAV|RAP3</t>
  </si>
  <si>
    <t>APOB</t>
  </si>
  <si>
    <t>FCHL2|FLDB|LDLCQ4|apoB-100|apoB-48</t>
  </si>
  <si>
    <t>ANEURYSM (AD);OMIM (AR;AD,AR);PCS (AR)</t>
  </si>
  <si>
    <t>APOC2</t>
  </si>
  <si>
    <t>APO-CII|APOC-II</t>
  </si>
  <si>
    <t>APOC3</t>
  </si>
  <si>
    <t>APOCIII</t>
  </si>
  <si>
    <t>APOE</t>
  </si>
  <si>
    <t>AD2|APO-E|ApoE4|LDLCQ5|LPG</t>
  </si>
  <si>
    <t>OMIM (AR;AD,AR);PCS (AR)</t>
  </si>
  <si>
    <t>APOL1</t>
  </si>
  <si>
    <t>APO-L|APOL|APOL-I|FSGS4</t>
  </si>
  <si>
    <t>IMMUUN (AD);NIER (AD,AR);OMIM (AD;AD,AR)</t>
  </si>
  <si>
    <t>APOO</t>
  </si>
  <si>
    <t>FAM121B|MIC26|MICOS26|Mic23|My025</t>
  </si>
  <si>
    <t>OMIM (XL);OXPHOS (XL)</t>
  </si>
  <si>
    <t>APP</t>
  </si>
  <si>
    <t>AAA|ABETA|ABPP|AD1|APPI|CTFgamma|CVAP|PN-II|PN2|alpha-sAPP|preA4</t>
  </si>
  <si>
    <t>APRT</t>
  </si>
  <si>
    <t>AMP|APRTD</t>
  </si>
  <si>
    <t>APTX</t>
  </si>
  <si>
    <t>AOA|AOA1|AXA1|EAOH|EOAHA|FHA-HIT</t>
  </si>
  <si>
    <t>AQP2</t>
  </si>
  <si>
    <t>AQP-CD|WCH-CD</t>
  </si>
  <si>
    <t>NIER (AD,AR);OMIM (AR;AD,AR);PCS (AR)</t>
  </si>
  <si>
    <t>AQP5</t>
  </si>
  <si>
    <t>AQP-5|PPKB</t>
  </si>
  <si>
    <t>AIS|AR8|DHTR|HUMARA|HYSP1|KD|NR3C4|SBMA|SMAX1|TFM</t>
  </si>
  <si>
    <t>DSD (XL);OMIM (XL;XLR)</t>
  </si>
  <si>
    <t>ARCN1</t>
  </si>
  <si>
    <t>COPD|SRMMD</t>
  </si>
  <si>
    <t>LENGTE (AD);MR (AD);OMIM (AD)</t>
  </si>
  <si>
    <t>ARF1</t>
  </si>
  <si>
    <t>PVNH8</t>
  </si>
  <si>
    <t>ARFGEF2</t>
  </si>
  <si>
    <t>BIG2|PVNH2|dJ1164I10.1</t>
  </si>
  <si>
    <t>ARG1</t>
  </si>
  <si>
    <t>BEWEGING (AR);METAB (AR);MR (AR);OMIM (AR);PCS (AR)</t>
  </si>
  <si>
    <t>ARHGAP26</t>
  </si>
  <si>
    <t>GRAF|GRAF1|OPHN1L|OPHN1L1</t>
  </si>
  <si>
    <t>ARHGAP29</t>
  </si>
  <si>
    <t>PARG1</t>
  </si>
  <si>
    <t>CFA (AD);OMIM (AD);SCHISIS (AD)</t>
  </si>
  <si>
    <t>ARHGAP31</t>
  </si>
  <si>
    <t>AOS1|CDGAP</t>
  </si>
  <si>
    <t>DERM (AD);LENGTE (AD);MR (AD);OMIM (AD);SCHISIS (AD)</t>
  </si>
  <si>
    <t>ARHGDIA</t>
  </si>
  <si>
    <t>GDIA1|HEL-S-47e|NPHS8|RHOGDI|RHOGDI-1</t>
  </si>
  <si>
    <t>ARHGEF1</t>
  </si>
  <si>
    <t>GEF1|IMD62|LBCL2|LSC|P115-RHOGEF|SUB1.5</t>
  </si>
  <si>
    <t>ARHGEF10</t>
  </si>
  <si>
    <t>GEF10|SNCV</t>
  </si>
  <si>
    <t>HMSN (AD);OMIM (AD)</t>
  </si>
  <si>
    <t>ARHGEF18</t>
  </si>
  <si>
    <t>P114-RhoGEF|RP78|SA-RhoGEF|p114RhoGEF</t>
  </si>
  <si>
    <t>ARHGEF2</t>
  </si>
  <si>
    <t>GEF|GEF-H1|GEFH1|LFP40|Lfc|NEDMHM|P40</t>
  </si>
  <si>
    <t>ARHGEF28</t>
  </si>
  <si>
    <t>RGNEF|RIP2|p190RHOGEF</t>
  </si>
  <si>
    <t>HMSN (AR);OMIM (AR)</t>
  </si>
  <si>
    <t>ARHGEF6</t>
  </si>
  <si>
    <t>COOL2|Cool-2|MRX46|PIXA|alpha-PIX|alphaPIX</t>
  </si>
  <si>
    <t>MR (XL);OMIM (XL)</t>
  </si>
  <si>
    <t>ARHGEF9</t>
  </si>
  <si>
    <t>COLLYBISTIN|DEE8|EIEE8|HPEM-2|PEM-2|PEM2</t>
  </si>
  <si>
    <t>EPI (XL);MR (XL);OMIM (XL;XLR)</t>
  </si>
  <si>
    <t>ARID1A</t>
  </si>
  <si>
    <t>B120|BAF250|BAF250a|BM029|C1orf4|CSS2|ELD|MRD14|OSA1|P270|SMARCF1|hELD|hOSA1</t>
  </si>
  <si>
    <t>ARID1B</t>
  </si>
  <si>
    <t>6A3-5|BAF250B|BRIGHT|CSS1|DAN15|ELD/OSA1|MRD12|OSA2|P250R</t>
  </si>
  <si>
    <t>DERM (AD);EPI (AD);LENGTE (AD);MR (AD);OMIM (AD)</t>
  </si>
  <si>
    <t>ARID2</t>
  </si>
  <si>
    <t>BAF200|CSS6|p200</t>
  </si>
  <si>
    <t>ARIH1</t>
  </si>
  <si>
    <t>ARI|HARI|HHARI|UBCH7BP</t>
  </si>
  <si>
    <t>ANEURYSM (AD);HART (AD);OMIM (AD)</t>
  </si>
  <si>
    <t>ARL13B</t>
  </si>
  <si>
    <t>ARL2L1|JBTS8</t>
  </si>
  <si>
    <t>ARL2</t>
  </si>
  <si>
    <t>ARFL2|MRCS1</t>
  </si>
  <si>
    <t>BLIND (AD);OMIM (AD);OXPHOS (AD)</t>
  </si>
  <si>
    <t>ARL2BP</t>
  </si>
  <si>
    <t>BART|BART1|RP66</t>
  </si>
  <si>
    <t>ARL3</t>
  </si>
  <si>
    <t>ARFL3|JBTS35|RP83</t>
  </si>
  <si>
    <t>BLIND (AD);CILIO (AR);OMIM (AR;AD,AR);PCS (AR)</t>
  </si>
  <si>
    <t>ARL6</t>
  </si>
  <si>
    <t>BBS3|RP55</t>
  </si>
  <si>
    <t>ARL6IP1</t>
  </si>
  <si>
    <t>AIP1|ARL6IP|ARMER|SPG61</t>
  </si>
  <si>
    <t>ARMC2</t>
  </si>
  <si>
    <t>SPGF38|bA787I22.1</t>
  </si>
  <si>
    <t>ARMC5</t>
  </si>
  <si>
    <t>AIMAH2</t>
  </si>
  <si>
    <t>DSD (AD);OMIM (UK,AR,AD,XL);TUMOR (AD)</t>
  </si>
  <si>
    <t>ARMC9</t>
  </si>
  <si>
    <t>ARM|JBTS30|KU-MEL-1|NS21</t>
  </si>
  <si>
    <t>CILIO (AR);MR (AR);OMIM (AR);PCS (AR)</t>
  </si>
  <si>
    <t>ARNT2</t>
  </si>
  <si>
    <t>WEDAS|bHLHe1</t>
  </si>
  <si>
    <t>OMIM (AR);OXPHOS (AR);PCS (AR)</t>
  </si>
  <si>
    <t>ARPC1B</t>
  </si>
  <si>
    <t>ARC41|IMD71|PLTEID|p40-ARC|p41-ARC</t>
  </si>
  <si>
    <t>HEMOS (AR);IMMUUN (AR);OMIM (AR);PCS (AR)</t>
  </si>
  <si>
    <t>ARR3</t>
  </si>
  <si>
    <t>ARRX|MYP26|cArr</t>
  </si>
  <si>
    <t>BLIND (XL);OMIM (XL)</t>
  </si>
  <si>
    <t>ARSA</t>
  </si>
  <si>
    <t>ASA|MLD</t>
  </si>
  <si>
    <t>BEWEGING (AD,AR);HMSN (AR);METAB (AR);MR (AR);OMIM (AR;AD,AR);PCS (AR)</t>
  </si>
  <si>
    <t>ARSB</t>
  </si>
  <si>
    <t>ASB|G4S|MPS6</t>
  </si>
  <si>
    <t>ARSG</t>
  </si>
  <si>
    <t>USH4</t>
  </si>
  <si>
    <t>BLIND (AR);DOOF (AR);OMIM (AR);PCS (AR)</t>
  </si>
  <si>
    <t>ARSL</t>
  </si>
  <si>
    <t>ARSE|ASE|CDPX|CDPX1|CDPXR</t>
  </si>
  <si>
    <t>LENGTE (XLR);MR (XL);OMIM (XLR)</t>
  </si>
  <si>
    <t>ARV1</t>
  </si>
  <si>
    <t>DEE38|EIEE38</t>
  </si>
  <si>
    <t>ARX</t>
  </si>
  <si>
    <t>CT121|EIEE1|ISSX|MRX29|MRX32|MRX33|MRX36|MRX38|MRX43|MRX54|MRX76|MRX87|MRXS1|PRTS</t>
  </si>
  <si>
    <t>BEWEGING (XL);DSD (XL);EPI (XL);MR (XL);OMIM (XL)</t>
  </si>
  <si>
    <t>ASAH1</t>
  </si>
  <si>
    <t>AC|ACDase|ASAH|PHP|PHP32|SMAPME</t>
  </si>
  <si>
    <t>ASB10</t>
  </si>
  <si>
    <t>GLC1F</t>
  </si>
  <si>
    <t>BLIND (AD);OMIM (AD;UK,AR,AD,XL)</t>
  </si>
  <si>
    <t>ASCC1</t>
  </si>
  <si>
    <t>ASC1p50|CGI-18|SMABF2|p50</t>
  </si>
  <si>
    <t>ASCL1</t>
  </si>
  <si>
    <t>ASH1|HASH1|MASH1|bHLHa46</t>
  </si>
  <si>
    <t>ASH1L</t>
  </si>
  <si>
    <t>ASH1|ASH1L1|KMT2H|MRD52</t>
  </si>
  <si>
    <t>ASIP</t>
  </si>
  <si>
    <t>AGSW|AGTI|AGTIL|ASP|SHEP9</t>
  </si>
  <si>
    <t>ASL</t>
  </si>
  <si>
    <t>ASAL</t>
  </si>
  <si>
    <t>DERM (AR);EPI (AR);METAB (AR);MR (AR);OMIM (AR);PCS (AR)</t>
  </si>
  <si>
    <t>ASNS</t>
  </si>
  <si>
    <t>ASNSD|TS11</t>
  </si>
  <si>
    <t>ASPA</t>
  </si>
  <si>
    <t>ACY2|ASP</t>
  </si>
  <si>
    <t>ASPH</t>
  </si>
  <si>
    <t>AAH|BAH|CASQ2BP1|FDLAB|HAAH|JCTN|junctin</t>
  </si>
  <si>
    <t>ASPM</t>
  </si>
  <si>
    <t>ASP|Calmbp1|MCPH5</t>
  </si>
  <si>
    <t>ASPSCR1</t>
  </si>
  <si>
    <t>ASPCR1|ASPL|ASPS|RCC17|TUG|UBXD9|UBXN9</t>
  </si>
  <si>
    <t>ASRGL1</t>
  </si>
  <si>
    <t>ALP|ALP1|CRASH</t>
  </si>
  <si>
    <t>BLIND (AR);OMIM (AR)</t>
  </si>
  <si>
    <t>ASS1</t>
  </si>
  <si>
    <t>ASS|CTLN1</t>
  </si>
  <si>
    <t>ASXL1</t>
  </si>
  <si>
    <t>BOPS|MDS</t>
  </si>
  <si>
    <t>BMF (AD);DERM (AD);MR (AD);OMIM (AD);SCHISIS (AD);TUMOR (AD)</t>
  </si>
  <si>
    <t>ASXL2</t>
  </si>
  <si>
    <t>ASXH2|SHAPNS</t>
  </si>
  <si>
    <t>ASXL3</t>
  </si>
  <si>
    <t>BRPS|KIAA1713</t>
  </si>
  <si>
    <t>DERM (AD);EPI (AD);MR (AD);OMIM (AD)</t>
  </si>
  <si>
    <t>ATAD1</t>
  </si>
  <si>
    <t>AFDC1|FNP001|HKPX4|Msp1|THORASE|hATAD1</t>
  </si>
  <si>
    <t>MR (AR);OMIM (AR);OXPHOS (AR);PCS (AR)</t>
  </si>
  <si>
    <t>ATAD3A</t>
  </si>
  <si>
    <t>HAYOS|PHRINL</t>
  </si>
  <si>
    <t>HMSN (AD,AR);MR (AD,AR);OMIM (AD,AR);OXPHOS (AR);PCS (AR)</t>
  </si>
  <si>
    <t>ATAD3B</t>
  </si>
  <si>
    <t>AAA-TOB3|TOB3</t>
  </si>
  <si>
    <t>ATCAY</t>
  </si>
  <si>
    <t>BNIP-H|CLAC</t>
  </si>
  <si>
    <t>BEWEGING (AR);OMIM (AR);PCS (AR)</t>
  </si>
  <si>
    <t>ATF3</t>
  </si>
  <si>
    <t>DSD (AD);OMIM (AD)</t>
  </si>
  <si>
    <t>ATF6</t>
  </si>
  <si>
    <t>ACHM7|ATF6A</t>
  </si>
  <si>
    <t>ATG4A</t>
  </si>
  <si>
    <t>APG4A|AUTL2</t>
  </si>
  <si>
    <t>ATG4B</t>
  </si>
  <si>
    <t>APG4B|AUTL1</t>
  </si>
  <si>
    <t>ATG5</t>
  </si>
  <si>
    <t>APG5|APG5-LIKE|APG5L|ASP|SCAR25|hAPG5</t>
  </si>
  <si>
    <t>ATIC</t>
  </si>
  <si>
    <t>AICAR|AICARFT|HEL-S-70p|IMPCHASE|PURH</t>
  </si>
  <si>
    <t>ATL1</t>
  </si>
  <si>
    <t>AD-FSP|FSP1|GBP3|HSN1D|SPG3|SPG3A|atlastin1</t>
  </si>
  <si>
    <t>BEWEGING (AD);HMSN (AD);HNPD (AD);MR (AD);OMIM (AD)</t>
  </si>
  <si>
    <t>ATL3</t>
  </si>
  <si>
    <t>HSN1F</t>
  </si>
  <si>
    <t>HMSN (AD);HNPD (AD);OMIM (AD)</t>
  </si>
  <si>
    <t>ATM</t>
  </si>
  <si>
    <t>AT1|ATA|ATC|ATD|ATDC|ATE|TEL1|TELO1</t>
  </si>
  <si>
    <t>BEWEGING (AR);BRSTKNK (AD);IMMUUN (AR);OMIM (AR;AD;AD,AR);PCS (AR);TUMOR (AD,AR)</t>
  </si>
  <si>
    <t>ATN1</t>
  </si>
  <si>
    <t>B37|CHEDDA|D12S755E|DRPLA|HRS|NOD</t>
  </si>
  <si>
    <t>ATOH1</t>
  </si>
  <si>
    <t>ATH1|HATH1|MATH-1|bHLHa14</t>
  </si>
  <si>
    <t>ATOH7</t>
  </si>
  <si>
    <t>Math5|NCRNA|PHPVAR|RNANC|bHLHa13</t>
  </si>
  <si>
    <t>ATP11C</t>
  </si>
  <si>
    <t>ATPIG|ATPIQ|HACXL</t>
  </si>
  <si>
    <t>OMIM (XLR)</t>
  </si>
  <si>
    <t>ATP13A2</t>
  </si>
  <si>
    <t>CLN12|HSA9947|KRPPD|PARK9|SPG78</t>
  </si>
  <si>
    <t>BEWEGING (AR);HMSN (AR);OMIM (AR);OXPHOS (AR);PARK (AR);PCS (AR)</t>
  </si>
  <si>
    <t>ATP1A1</t>
  </si>
  <si>
    <t>CMT2DD|HOMGSMR2</t>
  </si>
  <si>
    <t>HMSN (AD);METAB (AD);MR (AD);NIER (AD);OMIM (AD)</t>
  </si>
  <si>
    <t>ATP1A2</t>
  </si>
  <si>
    <t>FHM2|MHP2</t>
  </si>
  <si>
    <t>BEWEGING (AD);EPI (AD);MR (AD);OMIM (AD)</t>
  </si>
  <si>
    <t>ATP1A3</t>
  </si>
  <si>
    <t>AHC2|ATP1A1|CAPOS|DYT12|RDP</t>
  </si>
  <si>
    <t>BEWEGING (AD);DOOF (AR);EPI (AD);MR (AD);OMIM (AD;AR);PARK (AD)</t>
  </si>
  <si>
    <t>ATP2A1</t>
  </si>
  <si>
    <t>ATP2A|SERCA1</t>
  </si>
  <si>
    <t>OMIM (AR;AD,AR);PCS (AR);SPIER (AD,AR)</t>
  </si>
  <si>
    <t>ATP2A2</t>
  </si>
  <si>
    <t>ATP2B|DAR|DD|SERCA2</t>
  </si>
  <si>
    <t>ATP2B2</t>
  </si>
  <si>
    <t>PMCA2|PMCA2a|PMCA2i</t>
  </si>
  <si>
    <t>ATP2B3</t>
  </si>
  <si>
    <t>CFAP39|CLA2|OPCA|PMCA3|PMCA3a|SCAX1</t>
  </si>
  <si>
    <t>BEWEGING (XL);OMIM (XLR)</t>
  </si>
  <si>
    <t>ATP2C1</t>
  </si>
  <si>
    <t>ATP2C1A|BCPM|HHD|PMR1|SPCA1|hSPCA1</t>
  </si>
  <si>
    <t>ATP4A</t>
  </si>
  <si>
    <t>ATP6A</t>
  </si>
  <si>
    <t>ATP5F1A</t>
  </si>
  <si>
    <t>ATP5A|ATP5A1|ATP5AL2|ATPM|COXPD22|HEL-S-123m|MC5DN4|MOM2|OMR|ORM|hATP1</t>
  </si>
  <si>
    <t>ATP5F1B</t>
  </si>
  <si>
    <t>ATP5B|ATPMB|ATPSB|HEL-S-271</t>
  </si>
  <si>
    <t>ATP5F1C</t>
  </si>
  <si>
    <t>ATP5C|ATP5C1|ATP5CL1</t>
  </si>
  <si>
    <t>ATP5F1D</t>
  </si>
  <si>
    <t>ATP5D|MC5DN5</t>
  </si>
  <si>
    <t>ATP5F1E</t>
  </si>
  <si>
    <t>ATP5E|ATPE|MC5DN3</t>
  </si>
  <si>
    <t>OMIM (AR;UK,AR,AD,XL);OXPHOS (AR);PCS (AR)</t>
  </si>
  <si>
    <t>ATP5IF1</t>
  </si>
  <si>
    <t>ATPI|ATPIF1|ATPIP|IP</t>
  </si>
  <si>
    <t>ATP5MC1</t>
  </si>
  <si>
    <t>ATP5A|ATP5G|ATP5G1</t>
  </si>
  <si>
    <t>ATP5MC2</t>
  </si>
  <si>
    <t>ATP5A|ATP5G2</t>
  </si>
  <si>
    <t>ATP5MC3</t>
  </si>
  <si>
    <t>ATP5G3|P3</t>
  </si>
  <si>
    <t>ATP5ME</t>
  </si>
  <si>
    <t>ATP5I|ATP5K</t>
  </si>
  <si>
    <t>ATP5MF</t>
  </si>
  <si>
    <t>ATP5J2|ATP5JL</t>
  </si>
  <si>
    <t>ATP5MG</t>
  </si>
  <si>
    <t>ATP5JG|ATP5L</t>
  </si>
  <si>
    <t>ATP5MGL</t>
  </si>
  <si>
    <t>ATP5K2|ATP5L2</t>
  </si>
  <si>
    <t>ATP5MK</t>
  </si>
  <si>
    <t>AGP|ATP5MD|DAPIT|HCVFTP2|MC5DN6|USMG5|bA792D24.4</t>
  </si>
  <si>
    <t>ATP5MD</t>
  </si>
  <si>
    <t>ATP5PB</t>
  </si>
  <si>
    <t>ATP5F1|PIG47</t>
  </si>
  <si>
    <t>ATP5PD</t>
  </si>
  <si>
    <t>APT5H|ATP5H|ATPQ</t>
  </si>
  <si>
    <t>ATP5PF</t>
  </si>
  <si>
    <t>ATP5|ATP5A|ATP5J|ATPM|CF6|F6</t>
  </si>
  <si>
    <t>ATP5PO</t>
  </si>
  <si>
    <t>ATP5O|ATPO|HMC08D05|OSCP</t>
  </si>
  <si>
    <t>ATP6AP1</t>
  </si>
  <si>
    <t>16A|ATP6IP1|ATP6S1|Ac45|CF2|VATPS1|XAP-3|XAP3</t>
  </si>
  <si>
    <t>IMMUUN (XLR);METAB (XL);OMIM (XL;XLR)</t>
  </si>
  <si>
    <t>ATP6AP2</t>
  </si>
  <si>
    <t>APT6M8-9|ATP6IP2|ATP6M8-9|CDG2R|ELDF10|HT028|M8-9|MRXE|MRXSH|MSTP009|PRR|RENR|XMRE|XPDS</t>
  </si>
  <si>
    <t>EPI (XL);METAB (XLR);MR (XL);OMIM (XLR)</t>
  </si>
  <si>
    <t>ATP6V0A2</t>
  </si>
  <si>
    <t>A2|ARCL|ARCL2A|ATP6A2|ATP6N1D|J6B7|RTF|STV1|TJ6|TJ6M|TJ6S|VPH1|WSS</t>
  </si>
  <si>
    <t>DERM (AR);LENGTE (AR);METAB (AR);MR (AR);OMIM (AR);PCS (AR)</t>
  </si>
  <si>
    <t>ATP6V0A4</t>
  </si>
  <si>
    <t>A4|ATP6N1B|ATP6N2|DRTA3|RDRTA2|RTA1C|RTADR|STV1|VPH1|VPP2</t>
  </si>
  <si>
    <t>DOOF (AR);NIER (AR);OMIM (AR;UK,AR,AD,XL);PCS (AR)</t>
  </si>
  <si>
    <t>ATP6V1A</t>
  </si>
  <si>
    <t>ARCL2D|ATP6A1|ATP6V1A1|DEE93|HO68|IECEE3|VA68|VPP2|Vma1</t>
  </si>
  <si>
    <t>METAB (AR);MR (AD);OMIM (AR;AD;AD,AR);PCS (AR)</t>
  </si>
  <si>
    <t>ATP6V1B1</t>
  </si>
  <si>
    <t>ATP6B1|DRTA2|RTA1B|VATB|VMA2|VPP3</t>
  </si>
  <si>
    <t>DOOF (AR);NIER (AR);OMIM (AR);PCS (AR)</t>
  </si>
  <si>
    <t>ATP6V1B2</t>
  </si>
  <si>
    <t>ATP6B1B2|ATP6B2|DOOD|HO57|VATB|VPP3|Vma2|ZLS2</t>
  </si>
  <si>
    <t>DOOF (AD);MR (AD);OMIM (AD)</t>
  </si>
  <si>
    <t>ATP6V1E1</t>
  </si>
  <si>
    <t>ARCL2C|ATP6E|ATP6E2|ATP6V1E|P31|Vma4</t>
  </si>
  <si>
    <t>ATP7A</t>
  </si>
  <si>
    <t>DSMAX|MK|MNK|SMAX3</t>
  </si>
  <si>
    <t>ANEURYSM (AD);DERM (XL);EPI (XL);HMSN (XL);METAB (XL);MR (XL);OMIM (XL;AD;XLR);SPIER (XL)</t>
  </si>
  <si>
    <t>ATP7B</t>
  </si>
  <si>
    <t>PWD|WC1|WD|WND</t>
  </si>
  <si>
    <t>BEWEGING (AR);LEVER (AR);METAB (AR);NIER (AR);OMIM (AR);PCS (AR)</t>
  </si>
  <si>
    <t>ATP8A2</t>
  </si>
  <si>
    <t>ATP|ATPIB|CAMRQ4|IB|ML-1</t>
  </si>
  <si>
    <t>ATP8B1</t>
  </si>
  <si>
    <t>ATPIC|BRIC|FIC1|ICP1|PFIC|PFIC1</t>
  </si>
  <si>
    <t>LEVER (AR);METAB (AR);OMIM (AR;AD,AR);PCS (AR)</t>
  </si>
  <si>
    <t>ATPAF1</t>
  </si>
  <si>
    <t>ATP11|ATP11p</t>
  </si>
  <si>
    <t>ATPAF2</t>
  </si>
  <si>
    <t>ATP12|ATP12p|LP3663|MC5DN1</t>
  </si>
  <si>
    <t>HART (AR);OMIM (AR);OXPHOS (AR);PCS (AR)</t>
  </si>
  <si>
    <t>ATR</t>
  </si>
  <si>
    <t>FCTCS|FRP1|MEC1|SCKL|SCKL1</t>
  </si>
  <si>
    <t>BMF (AR);DERM (AD,AR);LENGTE (AR);MR (AR);OMIM (AR;AD,AR);PCS (AR);TUMOR (AD,AR)</t>
  </si>
  <si>
    <t>ATRX</t>
  </si>
  <si>
    <t>JMS|MRX52|RAD54|RAD54L|XH2|XNP|ZNF-HX</t>
  </si>
  <si>
    <t>DSD (XL);EPI (XL);MR (XL);OMIM (XL)</t>
  </si>
  <si>
    <t>ATXN1</t>
  </si>
  <si>
    <t>ATX1|D6S504E|SCA1</t>
  </si>
  <si>
    <t>ATXN10</t>
  </si>
  <si>
    <t>E46L|HUMEEP|SCA10</t>
  </si>
  <si>
    <t>ATXN2</t>
  </si>
  <si>
    <t>ATX2|SCA2|TNRC13</t>
  </si>
  <si>
    <t>ATXN3</t>
  </si>
  <si>
    <t>AT3|ATX3|JOS|MJD|MJD1|SCA3</t>
  </si>
  <si>
    <t>ATXN7</t>
  </si>
  <si>
    <t>ADCAII|OPCA3|SCA7|SGF73</t>
  </si>
  <si>
    <t>ATXN8OS</t>
  </si>
  <si>
    <t>KLHL1AS|NCRNA00003|SCA8</t>
  </si>
  <si>
    <t>AUH</t>
  </si>
  <si>
    <t>AURKC</t>
  </si>
  <si>
    <t>AIE2|AIK3|ARK3|AurC|HEL-S-90|SPGF5|STK13|aurora-C</t>
  </si>
  <si>
    <t>AUTS2</t>
  </si>
  <si>
    <t>FBRSL2|MRD26</t>
  </si>
  <si>
    <t>EPI (AD);MR (AD);OMIM (AD)</t>
  </si>
  <si>
    <t>AVIL</t>
  </si>
  <si>
    <t>ADVIL|DOC6|NPHS21|p92</t>
  </si>
  <si>
    <t>NIER (AR);OMIM (AR)</t>
  </si>
  <si>
    <t>AVP</t>
  </si>
  <si>
    <t>ADH|ARVP|AVP-NPII|AVRP|VP</t>
  </si>
  <si>
    <t>AVPR2</t>
  </si>
  <si>
    <t>ADHR|DI1|DIR|DIR3|NDI|V2R</t>
  </si>
  <si>
    <t>MR (XL);NIER (XLR);OMIM (XLR)</t>
  </si>
  <si>
    <t>AXIN1</t>
  </si>
  <si>
    <t>AXIN|PPP1R49</t>
  </si>
  <si>
    <t>AXIN2</t>
  </si>
  <si>
    <t>AXIL|ODCRCS</t>
  </si>
  <si>
    <t>CFA (AD);DERM (AD);OMIM (AD);TUMOR (AD)</t>
  </si>
  <si>
    <t>AXL</t>
  </si>
  <si>
    <t>ARK|JTK11|Tyro7|UFO</t>
  </si>
  <si>
    <t>DSD (AD);HH (AD);OMIM (AD)</t>
  </si>
  <si>
    <t>B2M</t>
  </si>
  <si>
    <t>IMD43</t>
  </si>
  <si>
    <t>IMMUUN (AR);OMIM (AD,AR);PCS (AR);SCID (AD,AR)</t>
  </si>
  <si>
    <t>B3GALNT1</t>
  </si>
  <si>
    <t>B3GALT3|GLCT3|GLOB|Gb4Cer|P|P1|beta3Gal-T3|galT3</t>
  </si>
  <si>
    <t>B3GALNT2</t>
  </si>
  <si>
    <t>B3GalNAc-T2|MDDGA11</t>
  </si>
  <si>
    <t>METAB (AR);MR (AR);OMIM (AR);PCS (AR);SPIER (AR)</t>
  </si>
  <si>
    <t>B3GALT6</t>
  </si>
  <si>
    <t>ALGAZ|EDSP2|EDSSPD2|SEMDJL1|beta3GalT6</t>
  </si>
  <si>
    <t>DERM (AR);LENGTE (AR);METAB (AR);MR (AR);OMIM (AR);PCS (AR);SCHISIS (AR)</t>
  </si>
  <si>
    <t>B3GAT3</t>
  </si>
  <si>
    <t>GLCATI|JDSCD|glcUAT-I</t>
  </si>
  <si>
    <t>B3GLCT</t>
  </si>
  <si>
    <t>B3GALTL|B3GTL|B3Glc-T|Gal-T|beta3Glc-T</t>
  </si>
  <si>
    <t>BLIND (AR);METAB (AR);MR (AR);OMIM (AR);PCS (AR);SCHISIS (AR)</t>
  </si>
  <si>
    <t>B4GALNT1</t>
  </si>
  <si>
    <t>GALGT|GALNACT|GalNAc-T|SPG26</t>
  </si>
  <si>
    <t>B4GALT1</t>
  </si>
  <si>
    <t>B4GAL-T1|CDG2D|GGTB2|GT1|GTB|beta4Gal-T1</t>
  </si>
  <si>
    <t>B4GALT7</t>
  </si>
  <si>
    <t>EDSP1|EDSSLA|EDSSPD1|XGALT1|XGPT|XGPT1</t>
  </si>
  <si>
    <t>B4GAT1</t>
  </si>
  <si>
    <t>B3GN-T1|B3GNT1|B3GNT6|BETA3GNTI|MDDGA13|iGAT|iGNT</t>
  </si>
  <si>
    <t>B9D1</t>
  </si>
  <si>
    <t>B9|EPPB9|JBTS27|MKS9|MKSR-1|MKSR1</t>
  </si>
  <si>
    <t>CILIO (AR);DSD (AR);NIER (AR);OMIM (AR);PCS (AR)</t>
  </si>
  <si>
    <t>B9D2</t>
  </si>
  <si>
    <t>ICIS-1|JBTS34|MKS10|MKSR-2|MKSR2</t>
  </si>
  <si>
    <t>CILIO (AR);NIER (AR);OMIM (AR);PCS (AR);SCHISIS (AR)</t>
  </si>
  <si>
    <t>BAAT</t>
  </si>
  <si>
    <t>BACAT|BAT</t>
  </si>
  <si>
    <t>BACH2</t>
  </si>
  <si>
    <t>BTBD25|IMD60</t>
  </si>
  <si>
    <t>BAG3</t>
  </si>
  <si>
    <t>BAG-3|BIS|CAIR-1|MFM6</t>
  </si>
  <si>
    <t>HART (AD);HMSN (AD);OMIM (AD);SPIER (AD)</t>
  </si>
  <si>
    <t>BANF1</t>
  </si>
  <si>
    <t>BAF|BCRP1|D14S1460|NGPS</t>
  </si>
  <si>
    <t>DERM (AR);HART (AR);OMIM (AR);PCS (AR)</t>
  </si>
  <si>
    <t>BAP1</t>
  </si>
  <si>
    <t>HUCEP-13|UCHL2|hucep-6</t>
  </si>
  <si>
    <t>BRSTKNK (AD);DERM (AD);MELANOOM (AD);OMIM (AD);TUMOR (AD)</t>
  </si>
  <si>
    <t>BARD1</t>
  </si>
  <si>
    <t>BRSTKNK (AD);OMIM (AD);TUMOR (AD)</t>
  </si>
  <si>
    <t>BAX</t>
  </si>
  <si>
    <t>BCL2L4</t>
  </si>
  <si>
    <t>BAZ2B</t>
  </si>
  <si>
    <t>WALp4</t>
  </si>
  <si>
    <t>BBIP1</t>
  </si>
  <si>
    <t>BBIP10|BBS18|NCRNA00081|bA348N5.3</t>
  </si>
  <si>
    <t>BLIND (AR);CILIO (AR);NIER (AR);OMIM (AR);PCS (AR)</t>
  </si>
  <si>
    <t>BBS1</t>
  </si>
  <si>
    <t>BBS2L2</t>
  </si>
  <si>
    <t>BLIND (AR);CILIO (AR);MR (AR);NIER (AR);OMIM (AR;UK,AR,AD,XL);PCS (AR)</t>
  </si>
  <si>
    <t>BBS10</t>
  </si>
  <si>
    <t>C12orf58</t>
  </si>
  <si>
    <t>BBS12</t>
  </si>
  <si>
    <t>C4orf24</t>
  </si>
  <si>
    <t>BBS2</t>
  </si>
  <si>
    <t>BBS|RP74</t>
  </si>
  <si>
    <t>BBS4</t>
  </si>
  <si>
    <t>BBS5</t>
  </si>
  <si>
    <t>BBS7</t>
  </si>
  <si>
    <t>BBS2L1</t>
  </si>
  <si>
    <t>BBS9</t>
  </si>
  <si>
    <t>B1|C18|D1|PTHB1</t>
  </si>
  <si>
    <t>BCAP31</t>
  </si>
  <si>
    <t>6C6-AG|BAP31|CDM|DDCH|DXS1357E</t>
  </si>
  <si>
    <t>BEWEGING (XL);DOOF (XL);MR (XL);OMIM (XLR);OXPHOS (XL)</t>
  </si>
  <si>
    <t>BCAT1</t>
  </si>
  <si>
    <t>BCATC|BCT1|ECA39|MECA39|PNAS121|PP18</t>
  </si>
  <si>
    <t>BCAT2</t>
  </si>
  <si>
    <t>BCAM|BCATM|BCT2|HVLI|PP18</t>
  </si>
  <si>
    <t>BCHE</t>
  </si>
  <si>
    <t>BCHED|CHE1|CHE2|E1</t>
  </si>
  <si>
    <t>BCKDHA</t>
  </si>
  <si>
    <t>BCKDE1A|MSU|MSUD1|OVD1A</t>
  </si>
  <si>
    <t>BCKDHB</t>
  </si>
  <si>
    <t>BCKDE1B|BCKDH E1-beta|E1B</t>
  </si>
  <si>
    <t>BCKDK</t>
  </si>
  <si>
    <t>BCKDKD|BDK</t>
  </si>
  <si>
    <t>METAB (AR);MR (AR);OMIM (AR;UK,AR,AD,XL);PCS (AR)</t>
  </si>
  <si>
    <t>BCL10</t>
  </si>
  <si>
    <t>CARMEN|CIPER|CLAP|IMD37|c-E10|mE10</t>
  </si>
  <si>
    <t>IMMUUN (AR);OMIM (AR);PCS (AR)</t>
  </si>
  <si>
    <t>BCL11A</t>
  </si>
  <si>
    <t>BCL11A-L|BCL11A-S|BCL11A-XL|BCL11a-M|CTIP1|DILOS|EVI9|HBFQTL5|ZNF856</t>
  </si>
  <si>
    <t>BCL11B</t>
  </si>
  <si>
    <t>ATL1|ATL1-alpha|ATL1-beta|ATL1-delta|ATL1-gamma|CTIP-2|CTIP2|IDDFSTA|IMD49|RIT1|ZNF856B|hRIT1-alpha</t>
  </si>
  <si>
    <t>BEWEGING (AD);IMMUUN (AD);MR (AD);OMIM (AD)</t>
  </si>
  <si>
    <t>BCL2</t>
  </si>
  <si>
    <t>Bcl-2|PPP1R50</t>
  </si>
  <si>
    <t>BCL7A</t>
  </si>
  <si>
    <t>BCL7</t>
  </si>
  <si>
    <t>BCO1</t>
  </si>
  <si>
    <t>BCDO|BCDO1|BCMO|BCMO1|BCO</t>
  </si>
  <si>
    <t>BCOR</t>
  </si>
  <si>
    <t>ANOP2|MAA2|MCOPS2</t>
  </si>
  <si>
    <t>BLIND (XL);CFA (XL);DERM (XL);MR (XL);OMIM (XL;AD);SCHISIS (AD)</t>
  </si>
  <si>
    <t>BCORL1</t>
  </si>
  <si>
    <t>BCoR-L1|CXorf10|SHUVER</t>
  </si>
  <si>
    <t>MR (XLR);OMIM (XLR)</t>
  </si>
  <si>
    <t>BCS1L</t>
  </si>
  <si>
    <t>BCS|BCS1|BJS|FLNMS|GRACILE|Hs.6719|MC3DN1|PTD|h-BCS|h-BCS1</t>
  </si>
  <si>
    <t>DERM (AR);DOOF (AR);LEVER (AR);MR (AR);NIER (AR);OMIM (AR;UK,AR,AD,XL);OXPHOS (AR);PCS (AR)</t>
  </si>
  <si>
    <t>BDP1</t>
  </si>
  <si>
    <t>DFNB112|HSA238520|TAF3B1|TFC5|TFIIIB''|TFIIIB150|TFIIIB90|TFNR</t>
  </si>
  <si>
    <t>DOOF (AR);OMIM (AR)</t>
  </si>
  <si>
    <t>BEAN1</t>
  </si>
  <si>
    <t>BEAN|SCA31</t>
  </si>
  <si>
    <t>BECN1</t>
  </si>
  <si>
    <t>ATG6|VPS30|beclin1</t>
  </si>
  <si>
    <t>ANEURYSM (XLR);OMIM (XLR)</t>
  </si>
  <si>
    <t>BEST1</t>
  </si>
  <si>
    <t>ARB|BEST|BMD|Best1V1Delta2|RP50|TU15B|VMD2</t>
  </si>
  <si>
    <t>BFSP1</t>
  </si>
  <si>
    <t>CP115|CP94|CTRCT33|LIFL-H</t>
  </si>
  <si>
    <t>BLIND (AR);OMIM (AD,AR);PCS (AR)</t>
  </si>
  <si>
    <t>BFSP2</t>
  </si>
  <si>
    <t>CP47|CP49|CTRCT12|LIFL-L|PHAKOSIN</t>
  </si>
  <si>
    <t>BLIND (AD);OMIM (AD;AD,AR);PCS (AD,AR)</t>
  </si>
  <si>
    <t>BGN</t>
  </si>
  <si>
    <t>DSPG1|MRLS|PG-S1|PGI|SEMDX|SLRR1A</t>
  </si>
  <si>
    <t>ANEURYSM (AD);HART (XL);LENGTE (XL);OMIM (XL;AD)</t>
  </si>
  <si>
    <t>BHLHA9</t>
  </si>
  <si>
    <t>BHLHF42|CCSPD</t>
  </si>
  <si>
    <t>LENGTE (AD);OMIM (AD;AR);PCS (AR)</t>
  </si>
  <si>
    <t>BICC1</t>
  </si>
  <si>
    <t>BICC|CYSRD</t>
  </si>
  <si>
    <t>BICD2</t>
  </si>
  <si>
    <t>SMALED2|SMALED2A|SMALED2B|bA526D8.1</t>
  </si>
  <si>
    <t>AKI (AD);HMSN (AD);OMIM (AD);SPIER (AD)</t>
  </si>
  <si>
    <t>BIN1</t>
  </si>
  <si>
    <t>AMPH2|AMPHL|CNM2|SH3P9</t>
  </si>
  <si>
    <t>AKI (AR);OMIM (AR);PCS (AR);SPIER (AR)</t>
  </si>
  <si>
    <t>BLK</t>
  </si>
  <si>
    <t>MODY11</t>
  </si>
  <si>
    <t>BLM</t>
  </si>
  <si>
    <t>BS|MGRISCE1|RECQ2|RECQL2|RECQL3</t>
  </si>
  <si>
    <t>BMF (AR);DERM (AR);IMMUUN (AR);MR (AR);OMIM (AR);PCS (AR);TUMOR (AR)</t>
  </si>
  <si>
    <t>BLNK</t>
  </si>
  <si>
    <t>AGM4|BASH|BLNK-S|LY57|SLP-65|SLP65|bca</t>
  </si>
  <si>
    <t>BLOC1S3</t>
  </si>
  <si>
    <t>BLOS3|HPS8|RP</t>
  </si>
  <si>
    <t>BLIND (AR);DERM (AR);HEMOS (AR);OMIM (AR);PCS (AR)</t>
  </si>
  <si>
    <t>BLOC1S5</t>
  </si>
  <si>
    <t>BLOS5|HPS11|MU|MUTED</t>
  </si>
  <si>
    <t>BLOC1S6</t>
  </si>
  <si>
    <t>BLOS6|HPS9|PA|PALLID|PLDN</t>
  </si>
  <si>
    <t>BLIND (AR);DERM (AR);HEMOS (AR);IMMUUN (AR);OMIM (AR);PCS (AR)</t>
  </si>
  <si>
    <t>BLVRA</t>
  </si>
  <si>
    <t>BLVR|BVR|BVRA</t>
  </si>
  <si>
    <t>LEVER (AD,AR);METAB (AR);OMIM (AR;AD,AR);PCS (AR)</t>
  </si>
  <si>
    <t>BMP1</t>
  </si>
  <si>
    <t>OI13|PCOLC|PCP|PCP2|TLD</t>
  </si>
  <si>
    <t>LENGTE (AR);OMIM (AR);PCS (AR)</t>
  </si>
  <si>
    <t>BMP15</t>
  </si>
  <si>
    <t>GDF9B|ODG2|POF4</t>
  </si>
  <si>
    <t>DSD (XL);OMIM (XL)</t>
  </si>
  <si>
    <t>BMP2</t>
  </si>
  <si>
    <t>BDA2|BMP2A|SSFSC|SSFSC1</t>
  </si>
  <si>
    <t>CFA (AD);LENGTE (AD);METAB (AR);OMIM (AD;AR);SCHISIS (AD)</t>
  </si>
  <si>
    <t>BMP4</t>
  </si>
  <si>
    <t>BMP2B|BMP2B1|MCOPS6|OFC11|ZYME</t>
  </si>
  <si>
    <t>BLIND (AD);CFA (AD);DOOF (AD);DSD (AD);OMIM (AD)</t>
  </si>
  <si>
    <t>BMP6</t>
  </si>
  <si>
    <t>VGR|VGR1</t>
  </si>
  <si>
    <t>BMP7</t>
  </si>
  <si>
    <t>OP-1</t>
  </si>
  <si>
    <t>BMPER</t>
  </si>
  <si>
    <t>CRIM3|CV-2|CV2</t>
  </si>
  <si>
    <t>LENGTE (AR);OMIM (AR);PCS (AR);SCHISIS (AR)</t>
  </si>
  <si>
    <t>BMPR1A</t>
  </si>
  <si>
    <t>10q23del|ACVRLK3|ALK3|CD292|SKR5</t>
  </si>
  <si>
    <t>ANEURYSM (XL);OMIM (XL;AD);TUMOR (AD)</t>
  </si>
  <si>
    <t>BMPR1B</t>
  </si>
  <si>
    <t>ALK-6|ALK6|AMDD|BDA1D|BDA2|CDw293</t>
  </si>
  <si>
    <t>LENGTE (AD,AR);OMIM (AR;AD,AR);PCS (AR)</t>
  </si>
  <si>
    <t>BMPR2</t>
  </si>
  <si>
    <t>BMPR-II|BMPR3|BMR2|BRK-3|POVD1|PPH1|T-ALK</t>
  </si>
  <si>
    <t>BMS1</t>
  </si>
  <si>
    <t>ACC|BMS1L</t>
  </si>
  <si>
    <t>DERM (AD,AR);OMIM (AD;AD,AR)</t>
  </si>
  <si>
    <t>BNC2</t>
  </si>
  <si>
    <t>BSN2|LUTO</t>
  </si>
  <si>
    <t>BNIP3</t>
  </si>
  <si>
    <t>NIP3</t>
  </si>
  <si>
    <t>BOLA1</t>
  </si>
  <si>
    <t>CGI-143</t>
  </si>
  <si>
    <t>BOLA2</t>
  </si>
  <si>
    <t>BOLA2A|BOLA2B|My016</t>
  </si>
  <si>
    <t>BOLA3</t>
  </si>
  <si>
    <t>MMDS2</t>
  </si>
  <si>
    <t>EPI (AR);MR (AR);OMIM (AR);OXPHOS (AR);PCS (AR)</t>
  </si>
  <si>
    <t>BPGM</t>
  </si>
  <si>
    <t>DPGM|ECYT8</t>
  </si>
  <si>
    <t>BPNT2</t>
  </si>
  <si>
    <t>GPAPP|IMP 3|IMP-3|IMPA3|IMPAD1</t>
  </si>
  <si>
    <t>IMPAD1</t>
  </si>
  <si>
    <t>CFA (AR);LENGTE (AR);METAB (AR);OMIM (AR);PCS (AR);SCHISIS (AR)</t>
  </si>
  <si>
    <t>BPTF</t>
  </si>
  <si>
    <t>FAC1|FALZ|NEDDFL|NURF301</t>
  </si>
  <si>
    <t>BRAF</t>
  </si>
  <si>
    <t>B-RAF1|B-raf|BRAF1|NS7|RAFB1</t>
  </si>
  <si>
    <t>BMF (AD);CHD (AD);DERM (AD);HART (AD);HEMOS (AD);LENGTE (AD);MR (AD);OMIM (AD);RAS (AD);TUMOR (AD)</t>
  </si>
  <si>
    <t>BRAT1</t>
  </si>
  <si>
    <t>BAAT1|C7orf27|NEDCAS|RMFSL</t>
  </si>
  <si>
    <t>EPI (AR);MR (AR);OMIM (AR);PCS (AR)</t>
  </si>
  <si>
    <t>BRCA1</t>
  </si>
  <si>
    <t>BRCAI|BRCC1|BROVCA1|FANCS|IRIS|PNCA4|PPP1R53|PSCP|RNF53</t>
  </si>
  <si>
    <t>BMF (AD,AR);BRSTKNK (AD);OMIM (AR;AD;AD,AR);PCS (AR);TUMOR (AD)</t>
  </si>
  <si>
    <t>BRCA2</t>
  </si>
  <si>
    <t>BRCC2|BROVCA2|FACD|FAD|FAD1|FANCD|FANCD1|GLM3|PNCA2|XRCC11</t>
  </si>
  <si>
    <t>BMF (AD,AR);BRSTKNK (AD);OMIM (AD;AD,AR;UK,AR,AD,XL);PCS (AR);SHHM (AD);TUMOR (AD)</t>
  </si>
  <si>
    <t>BRDT</t>
  </si>
  <si>
    <t>BRD6|CT9|SPGF21</t>
  </si>
  <si>
    <t>BRF1</t>
  </si>
  <si>
    <t>BRF|BRF-1|CFDS|GTF3B|HEL-S-76p|TAF3B2|TAF3C|TAFIII90|TF3B90|TFIIIB90|hBRF</t>
  </si>
  <si>
    <t>BRIP1</t>
  </si>
  <si>
    <t>BACH1|FANCJ|OF</t>
  </si>
  <si>
    <t>BMF (AD,AR);BRSTKNK (AD);DERM (AR);MELANOOM (AD);OMIM (UK,AR,AD,XL;AD,AR);PCS (AR);TUMOR (AD)</t>
  </si>
  <si>
    <t>BRPF1</t>
  </si>
  <si>
    <t>BR140|IDDDFP</t>
  </si>
  <si>
    <t>BRSK2</t>
  </si>
  <si>
    <t>C11orf7|PEN11B|SAD1|SADA|STK29</t>
  </si>
  <si>
    <t>BRWD3</t>
  </si>
  <si>
    <t>BRODL|MRX93</t>
  </si>
  <si>
    <t>MR (XL);OMIM (XLR)</t>
  </si>
  <si>
    <t>BSCL2</t>
  </si>
  <si>
    <t>GNG3LG|HMN5|HMN5C|PELD|SPG17</t>
  </si>
  <si>
    <t>BEWEGING (AD);DERM (AR);HART (AR);HMSN (AD);MR (AD,AR);OMIM (AR;AD,AR);PCS (AR)</t>
  </si>
  <si>
    <t>BSND</t>
  </si>
  <si>
    <t>BART|DFNB73</t>
  </si>
  <si>
    <t>BTD</t>
  </si>
  <si>
    <t>BEWEGING (AR);DERM (AR);DOOF (AR);EPI (AR);METAB (AR);MR (AR);OMIM (AR);PCS (AR)</t>
  </si>
  <si>
    <t>BTK</t>
  </si>
  <si>
    <t>AGMX1|AT|ATK|BPK|IGHD3|IMD1|PSCTK1|XLA</t>
  </si>
  <si>
    <t>IMMUUN (XL);LENGTE (XLR);OMIM (XL;XLR)</t>
  </si>
  <si>
    <t>BTRC</t>
  </si>
  <si>
    <t>BETA-TRCP|FBW1A|FBXW1|FBXW1A|FWD1|bTrCP|bTrCP1|betaTrCP</t>
  </si>
  <si>
    <t>LENGTE (AD);OMIM (AD)</t>
  </si>
  <si>
    <t>BUB1</t>
  </si>
  <si>
    <t>BUB1A|BUB1L|hBUB1</t>
  </si>
  <si>
    <t>OMIM (AD;UK,AR,AD,XL);TUMOR (AD)</t>
  </si>
  <si>
    <t>BUB1B</t>
  </si>
  <si>
    <t>BUB1beta|BUBR1|Bub1A|MAD3L|MVA1|SSK1|hBUBR1</t>
  </si>
  <si>
    <t>MR (AD,AR);OMIM (AD;AR;AD,AR);PCS (AR);TUMOR (AD)</t>
  </si>
  <si>
    <t>BUB3</t>
  </si>
  <si>
    <t>BUB3L|hBUB3</t>
  </si>
  <si>
    <t>BVES</t>
  </si>
  <si>
    <t>CARICK|HBVES|LGMD2X|LGMDR25|POP1|POPDC1</t>
  </si>
  <si>
    <t>HART (AR);OMIM (AR);PCS (AR)</t>
  </si>
  <si>
    <t>C11orf80</t>
  </si>
  <si>
    <t>HYDM4|TOP6BL|TOPOVIBL</t>
  </si>
  <si>
    <t>C12orf4</t>
  </si>
  <si>
    <t>C12orf57</t>
  </si>
  <si>
    <t>C10|GRCC10</t>
  </si>
  <si>
    <t>C19orf12</t>
  </si>
  <si>
    <t>MPAN|NBIA3|NBIA4|SPG43</t>
  </si>
  <si>
    <t>BEWEGING (AR);BLIND (AR);HMSN (AD,AR);OMIM (AR;AD,AR);OXPHOS (AR);PARK (AR);PCS (AR)</t>
  </si>
  <si>
    <t>C1GALT1C1</t>
  </si>
  <si>
    <t>C1GALT2|C38H2-L1|COSMC|HSPC067|MST143|TNPS</t>
  </si>
  <si>
    <t>METAB (AR);OMIM (AR;UK,AR,AD,XL)</t>
  </si>
  <si>
    <t>C1orf194</t>
  </si>
  <si>
    <t>C1QA</t>
  </si>
  <si>
    <t>C1QB</t>
  </si>
  <si>
    <t>C1QBP</t>
  </si>
  <si>
    <t>COXPD33|GC1QBP|HABP1|SF2AP32|SF2p32|gC1Q-R|gC1qR|p32</t>
  </si>
  <si>
    <t>C1QC</t>
  </si>
  <si>
    <t>C1Q-C|C1QG</t>
  </si>
  <si>
    <t>C1QTNF5</t>
  </si>
  <si>
    <t>CTRP5|MFRP</t>
  </si>
  <si>
    <t>C1R</t>
  </si>
  <si>
    <t>EDSPD1</t>
  </si>
  <si>
    <t>IMMUUN (AR);OMIM (AR;AD)</t>
  </si>
  <si>
    <t>C1S</t>
  </si>
  <si>
    <t>EDSPD2</t>
  </si>
  <si>
    <t>IMMUUN (AR);OMIM (AR;AD);PCS (AR)</t>
  </si>
  <si>
    <t>C2</t>
  </si>
  <si>
    <t>ARMD14|CO2</t>
  </si>
  <si>
    <t>C2CD3</t>
  </si>
  <si>
    <t>OFD14</t>
  </si>
  <si>
    <t>CILIO (AR);DERM (AR);MR (AR);OMIM (AR);PCS (AR);SCHISIS (AR)</t>
  </si>
  <si>
    <t>C3</t>
  </si>
  <si>
    <t>AHUS5|ARMD9|ASP|C3a|C3b|CPAMD1|HEL-S-62p</t>
  </si>
  <si>
    <t>HEMOS (AD);IMMUUN (AR);NIER (AD);OMIM (AR;AD);PCS (AR)</t>
  </si>
  <si>
    <t>C4A</t>
  </si>
  <si>
    <t>C4|C4A2|C4A3|C4A4|C4A6|C4AD|C4S|CO4|CPAMD2|RG</t>
  </si>
  <si>
    <t>C4B</t>
  </si>
  <si>
    <t>C4B1|C4B12|C4B2|C4B3|C4B5|C4BD|C4B_2|C4F|CH|CO4|CPAMD3</t>
  </si>
  <si>
    <t>C5</t>
  </si>
  <si>
    <t>C5D|C5a|C5b|CPAMD4|ECLZB</t>
  </si>
  <si>
    <t>IMMUUN (AR);OMIM (AR;UK,AR,AD,XL);PCS (AR)</t>
  </si>
  <si>
    <t>C6</t>
  </si>
  <si>
    <t>IMMUUN (AR);OMIM (UK,AR,AD,XL)</t>
  </si>
  <si>
    <t>C7</t>
  </si>
  <si>
    <t>C8A</t>
  </si>
  <si>
    <t>C8B</t>
  </si>
  <si>
    <t>C82</t>
  </si>
  <si>
    <t>C8G</t>
  </si>
  <si>
    <t>C8C</t>
  </si>
  <si>
    <t>C8orf37</t>
  </si>
  <si>
    <t>BBS21|CORD16|FAP418|MOT25|RP64|smalltalk</t>
  </si>
  <si>
    <t>BLIND (AR);CILIO (AR);OMIM (AR);PCS (AR)</t>
  </si>
  <si>
    <t>C9</t>
  </si>
  <si>
    <t>ARMD15|C9D</t>
  </si>
  <si>
    <t>C9orf72</t>
  </si>
  <si>
    <t>ALSFTD|DENND9|DENNL72|FTDALS|FTDALS1</t>
  </si>
  <si>
    <t>CA12</t>
  </si>
  <si>
    <t>CA-XII|CAXII|HsT18816|T18816</t>
  </si>
  <si>
    <t>CA2</t>
  </si>
  <si>
    <t>CA-II|CAC|CAII|Car2|HEL-76|HEL-S-282</t>
  </si>
  <si>
    <t>DERM (AR);IMMUUN (AR);LENGTE (AR);MR (AR);NIER (AR);OMIM (AR);PCS (AR)</t>
  </si>
  <si>
    <t>CA4</t>
  </si>
  <si>
    <t>CAIV|Car4|RP17</t>
  </si>
  <si>
    <t>CA5A</t>
  </si>
  <si>
    <t>CA5|CA5AD|CAV|CAVA|GS1-21A4.1</t>
  </si>
  <si>
    <t>METAB (AR);MR (AR);OMIM (AR);OXPHOS (AR);PCS (AR)</t>
  </si>
  <si>
    <t>CA8</t>
  </si>
  <si>
    <t>CA-RP|CA-VIII|CALS|CAMRQ3|CARP</t>
  </si>
  <si>
    <t>CABIN1</t>
  </si>
  <si>
    <t>CAIN|KB-318B8.7|PPP3IN</t>
  </si>
  <si>
    <t>HNPD (AD);OMIM (AD)</t>
  </si>
  <si>
    <t>CABP2</t>
  </si>
  <si>
    <t>DFNB93</t>
  </si>
  <si>
    <t>CABP4</t>
  </si>
  <si>
    <t>CRSD|CSNB2B</t>
  </si>
  <si>
    <t>CACNA1A</t>
  </si>
  <si>
    <t>APCA|BI|CACNL1A4|CAV2.1|DEE42|EA2|EIEE42|FHM|HPCA|MHP|MHP1|SCA6</t>
  </si>
  <si>
    <t>BEWEGING (AD);EPI (AD);HNPD (AD);MR (AD);OMIM (AD)</t>
  </si>
  <si>
    <t>CACNA1B</t>
  </si>
  <si>
    <t>BIII|CACNL1A5|CACNN|Cav2.2|DYT23|NEDNEH</t>
  </si>
  <si>
    <t>CACNA1C</t>
  </si>
  <si>
    <t>CACH2|CACN2|CACNL1A1|CCHL1A1|CaV1.2|LQT8|TS|TS. LQT8</t>
  </si>
  <si>
    <t>HART (AD);MR (AD);OMIM (AD)</t>
  </si>
  <si>
    <t>CACNA1D</t>
  </si>
  <si>
    <t>CACH3|CACN4|CACNL1A2|CCHL1A2|Cav1.3|PASNA|SANDD</t>
  </si>
  <si>
    <t>DOOF (AR);HART (AR);MR (AD);OMIM (AR;AD;AD,AR);PCS (AR)</t>
  </si>
  <si>
    <t>CACNA1E</t>
  </si>
  <si>
    <t>BII|CACH6|CACNL1A6|Cav2.3|DEE69|EIEE69|gm139</t>
  </si>
  <si>
    <t>CACNA1F</t>
  </si>
  <si>
    <t>AIED|COD3|COD4|CORDX|CORDX3|CSNB2|CSNB2A|CSNBX2|Cav1.4|Cav1.4alpha1|JM8|JMC8|OA2</t>
  </si>
  <si>
    <t>CACNA1G</t>
  </si>
  <si>
    <t>Ca(V)T.1|Cav3.1|NBR13|SCA42|SCA42ND</t>
  </si>
  <si>
    <t>BEWEGING (AD);MR (AD);OMIM (AD)</t>
  </si>
  <si>
    <t>CACNA1H</t>
  </si>
  <si>
    <t>CACNA1HB|Cav3.2|ECA6|EIG6|HALD4</t>
  </si>
  <si>
    <t>CACNA1S</t>
  </si>
  <si>
    <t>CACNL1A3|CCHL1A3|Cav1.1|HOKPP|HOKPP1|MHS5|TTPP1|hypoPP</t>
  </si>
  <si>
    <t>AKI (AR);OMIM (AD;AR);SPIER (AD)</t>
  </si>
  <si>
    <t>CACNA2D1</t>
  </si>
  <si>
    <t>CACNA2|CACNL2A|CCHL2A|LINC01112|lncRNA-N3</t>
  </si>
  <si>
    <t>CACNA2D2</t>
  </si>
  <si>
    <t>CACNA2D|CASVDD</t>
  </si>
  <si>
    <t>CACNA2D4</t>
  </si>
  <si>
    <t>RCD4</t>
  </si>
  <si>
    <t>CACNB2</t>
  </si>
  <si>
    <t>CAB2|CACNLB2|CAVB2|MYSB</t>
  </si>
  <si>
    <t>HART (AD);OMIM (AD;UK,AR,AD,XL)</t>
  </si>
  <si>
    <t>CACNB4</t>
  </si>
  <si>
    <t>CAB4|CACNLB4|EA5|EIG9|EJM|EJM4|EJM6</t>
  </si>
  <si>
    <t>BEWEGING (AD);EPI (AD);OMIM (AD)</t>
  </si>
  <si>
    <t>CACNG2</t>
  </si>
  <si>
    <t>MRD10</t>
  </si>
  <si>
    <t>CAD</t>
  </si>
  <si>
    <t>CDG1Z|DEE50|EIEE50|GATD4</t>
  </si>
  <si>
    <t>CADM3</t>
  </si>
  <si>
    <t>BIgR|IGSF4B|NECL1|Necl-1|TSLL1|synCAM3</t>
  </si>
  <si>
    <t>CALM1</t>
  </si>
  <si>
    <t>CALML2|CAM2|CAM3|CAMB|CAMC|CAMI|CAMIII|CPVT4|DD132|LQT14|PHKD|caM</t>
  </si>
  <si>
    <t>CALM2</t>
  </si>
  <si>
    <t>CALM|CALML2|CAM1|CAM3|CAMC|CAMII|CAMIII|LQT15|PHKD|PHKD2|caM</t>
  </si>
  <si>
    <t>CALM3</t>
  </si>
  <si>
    <t>CALM|CAM1|CAM2|CAMB|CPVT6|CaM|CaMIII|HEL-S-72|LQT16|PHKD|PHKD3</t>
  </si>
  <si>
    <t>CALR</t>
  </si>
  <si>
    <t>CRT|HEL-S-99n|RO|SSA|cC1qR</t>
  </si>
  <si>
    <t>HEMOS (AD,AR);IJZER (UK,AR,AD,XL);OMIM (AD,AR;UK,AR,AD,XL)</t>
  </si>
  <si>
    <t>CAMK2A</t>
  </si>
  <si>
    <t>CAMKA|CaMKIINalpha|CaMKIIalpha|MRD53|MRT63</t>
  </si>
  <si>
    <t>MR (AD);OMIM (AD;AD,AR);PCS (AR)</t>
  </si>
  <si>
    <t>CAMK2B</t>
  </si>
  <si>
    <t>CAM2|CAMK2|CAMKB|CaMKIIbeta|MRD54</t>
  </si>
  <si>
    <t>CAMK2G</t>
  </si>
  <si>
    <t>CAMK|CAMK-II|CAMKG|MRD59</t>
  </si>
  <si>
    <t>CAMTA1</t>
  </si>
  <si>
    <t>CANPMR</t>
  </si>
  <si>
    <t>CANT1</t>
  </si>
  <si>
    <t>DBQD|DBQD1|EDM7|SCAN-1|SCAN1|SHAPY</t>
  </si>
  <si>
    <t>CAPN1</t>
  </si>
  <si>
    <t>CANP|CANP1|CANPL1|SPG76|muCANP|muCL</t>
  </si>
  <si>
    <t>CAPN10</t>
  </si>
  <si>
    <t>CANP10|NIDDM1</t>
  </si>
  <si>
    <t>CAPN12</t>
  </si>
  <si>
    <t>CAPN3</t>
  </si>
  <si>
    <t>CANP3|CANPL3|LGMD2|LGMD2A|LGMDD4|LGMDR1|nCL-1|p94</t>
  </si>
  <si>
    <t>OMIM (AR;AD,AR);PCS (AR);SPIER (AR)</t>
  </si>
  <si>
    <t>CAPN5</t>
  </si>
  <si>
    <t>ADNIV|HTRA3|VRNI|nCL-3</t>
  </si>
  <si>
    <t>CARD11</t>
  </si>
  <si>
    <t>BENTA|BIMP3|CARMA1|IMD11|IMD11A|PPBL</t>
  </si>
  <si>
    <t>IMMUUN (AD,AR);OMIM (AD,AR);PCS (AR);TUMOR (AD)</t>
  </si>
  <si>
    <t>CARD14</t>
  </si>
  <si>
    <t>BIMP2|CARMA2|PRP|PSORS2|PSS1</t>
  </si>
  <si>
    <t>CARD9</t>
  </si>
  <si>
    <t>CANDF2|hCARD9</t>
  </si>
  <si>
    <t>CARMIL2</t>
  </si>
  <si>
    <t>CARMIL2b|IMD58|LRRC16C|RLTPR</t>
  </si>
  <si>
    <t>DERM (AR);IMMUUN (AR);OMIM (AR)</t>
  </si>
  <si>
    <t>CARS2</t>
  </si>
  <si>
    <t>COXPD27|cysRS</t>
  </si>
  <si>
    <t>CASK</t>
  </si>
  <si>
    <t>CAGH39|CAMGUK|CMG|FGS4|LIN2|MICPCH|MRXSNA|TNRC8|hCASK</t>
  </si>
  <si>
    <t>EPI (XL);MR (XL);OMIM (XL)</t>
  </si>
  <si>
    <t>CASP10</t>
  </si>
  <si>
    <t>ALPS2|FLICE-2|FLICE2|MCH4</t>
  </si>
  <si>
    <t>BMF (AD);IMMUUN (AD);OMIM (AD)</t>
  </si>
  <si>
    <t>CASP14</t>
  </si>
  <si>
    <t>ARCI12</t>
  </si>
  <si>
    <t>CASP8</t>
  </si>
  <si>
    <t>ALPS2B|CAP4|Casp-8|FLICE|MACH|MCH5</t>
  </si>
  <si>
    <t>CASQ1</t>
  </si>
  <si>
    <t>CASQ|PDIB1|VMCQA</t>
  </si>
  <si>
    <t>OMIM (AD);SPIER (AD)</t>
  </si>
  <si>
    <t>CASQ2</t>
  </si>
  <si>
    <t>PDIB2</t>
  </si>
  <si>
    <t>EPI (AR);HART (AR);OMIM (AR);PCS (AR)</t>
  </si>
  <si>
    <t>CASR</t>
  </si>
  <si>
    <t>CAR|EIG8|FHH|FIH|GPRC2A|HHC|HHC1|HYPOC1|NSHPT|PCAR1|hCasR</t>
  </si>
  <si>
    <t>LENGTE (AD,AR);NIER (AD);OMIM (AR;AD,AR);PCS (AR)</t>
  </si>
  <si>
    <t>CAST</t>
  </si>
  <si>
    <t>BS-17|PLACK</t>
  </si>
  <si>
    <t>CAT</t>
  </si>
  <si>
    <t>METAB (AR);OMIM (AR;UK,AR,AD,XL);PCS (AR)</t>
  </si>
  <si>
    <t>CATSPER1</t>
  </si>
  <si>
    <t>CATSPER|SPGF7</t>
  </si>
  <si>
    <t>CAV1</t>
  </si>
  <si>
    <t>BSCL3|CGL3|LCCNS|MSTP085|PPH3|VIP21</t>
  </si>
  <si>
    <t>DERM (AR);HART (AD);OMIM (AR;AD,AR);PCS (AR)</t>
  </si>
  <si>
    <t>CAV3</t>
  </si>
  <si>
    <t>LGMD1C|LQT9|MPDT|RMD2|VIP-21|VIP21</t>
  </si>
  <si>
    <t>HART (AD);OMIM (AD);SPIER (AD)</t>
  </si>
  <si>
    <t>CAVIN1</t>
  </si>
  <si>
    <t>CAVIN|CGL4|FKSG13|PTRF|cavin-1</t>
  </si>
  <si>
    <t>DERM (AR);IMMUUN (AR);OMIM (AR;AD);PCS (AR);SPIER (AD)</t>
  </si>
  <si>
    <t>CBL</t>
  </si>
  <si>
    <t>C-CBL|CBL2|FRA11B|NSLL|RNF55</t>
  </si>
  <si>
    <t>BMF (AD);DERM (AD);HEMOS (AD);LENGTE (AD);MR (AD);OMIM (AD;UK,AR,AD,XL);RAS (AD);TUMOR (AD)</t>
  </si>
  <si>
    <t>CBLB</t>
  </si>
  <si>
    <t>Cbl-b|Nbla00127|RNF56</t>
  </si>
  <si>
    <t>MELANOOM (AD);OMIM (AD)</t>
  </si>
  <si>
    <t>CBLIF</t>
  </si>
  <si>
    <t>GIF|IF|IFMH|INF|TCN3</t>
  </si>
  <si>
    <t>CBS</t>
  </si>
  <si>
    <t>CBSL|HIP4</t>
  </si>
  <si>
    <t>ANEURYSM (AD);DERM (AR);METAB (AR);MR (AR);OMIM (AD;AR);PCS (AR)</t>
  </si>
  <si>
    <t>CBWD1</t>
  </si>
  <si>
    <t>COBP</t>
  </si>
  <si>
    <t>CBX2</t>
  </si>
  <si>
    <t>CDCA6|M33|SRXY5</t>
  </si>
  <si>
    <t>DSD (AR);OMIM (AR);PCS (AR)</t>
  </si>
  <si>
    <t>CC2D1A</t>
  </si>
  <si>
    <t>FREUD-1|Freud-1/Aki1|MRT3</t>
  </si>
  <si>
    <t>CC2D2A</t>
  </si>
  <si>
    <t>COACH2|JBTS9|MKS6</t>
  </si>
  <si>
    <t>BLIND (AR);CILIO (AR);LENGTE (AR);LEVER (AR);MR (AR);NIER (AR);OMIM (AR);PCS (AR);SCHISIS (AR)</t>
  </si>
  <si>
    <t>CCBE1</t>
  </si>
  <si>
    <t>HKLLS1</t>
  </si>
  <si>
    <t>CFA (AR);DERM (AR);IMMUUN (AR);MR (AR);OMIM (AR);PCS (AR)</t>
  </si>
  <si>
    <t>CCDC103</t>
  </si>
  <si>
    <t>CILD17|PR46b|SMH</t>
  </si>
  <si>
    <t>CILIO (AR);OMIM (AR);PCS (AR)</t>
  </si>
  <si>
    <t>CCDC115</t>
  </si>
  <si>
    <t>CDG2O|ccp1</t>
  </si>
  <si>
    <t>CCDC134</t>
  </si>
  <si>
    <t>LENGTE (AR);OMIM (AR)</t>
  </si>
  <si>
    <t>CCDC141</t>
  </si>
  <si>
    <t>CAMDI</t>
  </si>
  <si>
    <t>CCDC174</t>
  </si>
  <si>
    <t>C3orf19|HSPC212|IHPM|IHPMR|ctr1</t>
  </si>
  <si>
    <t>CCDC22</t>
  </si>
  <si>
    <t>CXorf37|JM1|RTSC2</t>
  </si>
  <si>
    <t>CCDC28B</t>
  </si>
  <si>
    <t>CILIO (AR);OMIM (AR)</t>
  </si>
  <si>
    <t>CCDC32</t>
  </si>
  <si>
    <t>C15orf57|CFNDS</t>
  </si>
  <si>
    <t>CCDC39</t>
  </si>
  <si>
    <t>CFAP59|CILD14|FAP59</t>
  </si>
  <si>
    <t>CILIO (AR);OMIM (AR;UK,AR,AD,XL);PCS (AR)</t>
  </si>
  <si>
    <t>CCDC40</t>
  </si>
  <si>
    <t>CFAP172|CILD15|FAP172</t>
  </si>
  <si>
    <t>CCDC47</t>
  </si>
  <si>
    <t>GK001|MSTP041|THNS</t>
  </si>
  <si>
    <t>CCDC50</t>
  </si>
  <si>
    <t>C3orf6|DFNA44|YMER</t>
  </si>
  <si>
    <t>CCDC65</t>
  </si>
  <si>
    <t>CFAP250|DRC2|FAP250|NYD-SP28</t>
  </si>
  <si>
    <t>CCDC78</t>
  </si>
  <si>
    <t>C16orf25|CNM4|JFP10|hsCCDC78</t>
  </si>
  <si>
    <t>OMIM (AD;AR);SPIER (AR)</t>
  </si>
  <si>
    <t>CCDC8</t>
  </si>
  <si>
    <t>3M3|PPP1R20|p90</t>
  </si>
  <si>
    <t>CCDC88A</t>
  </si>
  <si>
    <t>APE|GIRDIN|GIV|GRDN|HkRP1|KIAA1212|PEHO|PEHOL</t>
  </si>
  <si>
    <t>CCDC88C</t>
  </si>
  <si>
    <t>DAPLE|HKRP2|HYC1|KIAA1509|SCA40</t>
  </si>
  <si>
    <t>MR (AR);OMIM (AR;AD,AR);PCS (AR)</t>
  </si>
  <si>
    <t>CCL2</t>
  </si>
  <si>
    <t>GDCF-2|HC11|HSMCR30|MCAF|MCP-1|MCP1|SCYA2|SMC-CF</t>
  </si>
  <si>
    <t>CCM2</t>
  </si>
  <si>
    <t>C7orf22|OSM|PP10187</t>
  </si>
  <si>
    <t>CCN6</t>
  </si>
  <si>
    <t>LIBC|PPAC|PPD|PPRD|WISP-3|WISP3</t>
  </si>
  <si>
    <t>CCND2</t>
  </si>
  <si>
    <t>KIAK0002|MPPH3</t>
  </si>
  <si>
    <t>CCNK</t>
  </si>
  <si>
    <t>CPR4|IDDHDF</t>
  </si>
  <si>
    <t>CCNO</t>
  </si>
  <si>
    <t>CCNU|CILD29|UDG2</t>
  </si>
  <si>
    <t>CCNQ</t>
  </si>
  <si>
    <t>CycM|FAM58A</t>
  </si>
  <si>
    <t>DSD (XL);LENGTE (XL);NIER (AD);OMIM (XL;AD)</t>
  </si>
  <si>
    <t>CCR5</t>
  </si>
  <si>
    <t>CC-CKR-5|CCCKR5|CCR-5|CD195|CKR-5|CKR5|CMKBR5|IDDM22</t>
  </si>
  <si>
    <t>ANEURYSM (AR);OMIM (AR)</t>
  </si>
  <si>
    <t>CCT2</t>
  </si>
  <si>
    <t>99D8.1|CCT-beta|CCTB|HEL-S-100n|PRO1633|TCP-1-beta</t>
  </si>
  <si>
    <t>CCT5</t>
  </si>
  <si>
    <t>CCT-epsilon|CCTE|HEL-S-69|PNAS-102|TCP-1-epsilon</t>
  </si>
  <si>
    <t>BEWEGING (AR);HMSN (AR);OMIM (AR);PCS (AR)</t>
  </si>
  <si>
    <t>CD151</t>
  </si>
  <si>
    <t>GP27|MER2|PETA-3|RAPH|SFA1|TSPAN24</t>
  </si>
  <si>
    <t>DERM (AR);DOOF (AR);OMIM (AR;UK,AR,AD,XL);PCS (AR)</t>
  </si>
  <si>
    <t>CD164</t>
  </si>
  <si>
    <t>DFNA66|MGC-24|MGC-24v|MUC-24|endolyn</t>
  </si>
  <si>
    <t>CD19</t>
  </si>
  <si>
    <t>B4|CVID3</t>
  </si>
  <si>
    <t>CD247</t>
  </si>
  <si>
    <t>CD3-ZETA|CD3H|CD3Q|CD3Z|IMD25|T3Z|TCRZ</t>
  </si>
  <si>
    <t>IMMUUN (AR);OMIM (AR);PCS (AR);SCID (AR)</t>
  </si>
  <si>
    <t>CD27</t>
  </si>
  <si>
    <t>S152|S152. LPFS2|T14|TNFRSF7|Tp55</t>
  </si>
  <si>
    <t>IMMUUN (AR);OMIM (AR);PCS (AR);TUMOR (AR)</t>
  </si>
  <si>
    <t>CD2AP</t>
  </si>
  <si>
    <t>CMS</t>
  </si>
  <si>
    <t>NIER (AR);OMIM (UK,AR,AD,XL);PCS (AR)</t>
  </si>
  <si>
    <t>CD320</t>
  </si>
  <si>
    <t>8D6|8D6A|TCBLR|TCN2R</t>
  </si>
  <si>
    <t>METAB (AR);OMIM (UK,AR,AD,XL);PCS (AR)</t>
  </si>
  <si>
    <t>CD36</t>
  </si>
  <si>
    <t>BDPLT10|CHDS7|FAT|GP3B|GP4|GPIV|PASIV|SCARB3</t>
  </si>
  <si>
    <t>HEMOS (AR);OMIM (AR)</t>
  </si>
  <si>
    <t>CD3D</t>
  </si>
  <si>
    <t>CD3-DELTA|IMD19|T3D</t>
  </si>
  <si>
    <t>CD3E</t>
  </si>
  <si>
    <t>IMD18|T3E|TCRE</t>
  </si>
  <si>
    <t>CD3G</t>
  </si>
  <si>
    <t>CD3-GAMMA|IMD17|T3G</t>
  </si>
  <si>
    <t>CD4</t>
  </si>
  <si>
    <t>CD4mut</t>
  </si>
  <si>
    <t>CD40</t>
  </si>
  <si>
    <t>Bp50|CDW40|TNFRSF5|p50</t>
  </si>
  <si>
    <t>CD40LG</t>
  </si>
  <si>
    <t>CD154|CD40L|HIGM1|IGM|IMD3|T-BAM|TNFSF5|TRAP|gp39|hCD40L</t>
  </si>
  <si>
    <t>IMMUUN (XL);OMIM (XL;XLR)</t>
  </si>
  <si>
    <t>CD46</t>
  </si>
  <si>
    <t>AHUS2|MCP|MIC10|TLX|TRA2.10</t>
  </si>
  <si>
    <t>HEMOS (AD,AR);IMMUUN (AD,AR);NIER (AD,AR);OMIM (AD,AR)</t>
  </si>
  <si>
    <t>CD55</t>
  </si>
  <si>
    <t>CHAPLE|CR|CROM|DAF|TC</t>
  </si>
  <si>
    <t>CD59</t>
  </si>
  <si>
    <t>16.3A5|1F5|EJ16|EJ30|EL32|G344|HRF-20|HRF20|MAC-IP|MACIF|MEM43|MIC11|MIN1|MIN2|MIN3|MIRL|MSK21|p18-20</t>
  </si>
  <si>
    <t>CD70</t>
  </si>
  <si>
    <t>CD27-L|CD27L|CD27LG|LPFS3|TNFSF7|TNLG8A</t>
  </si>
  <si>
    <t>IMMUUN (AR);OMIM (AR);TUMOR (AR)</t>
  </si>
  <si>
    <t>CD79A</t>
  </si>
  <si>
    <t>IGA|MB-1</t>
  </si>
  <si>
    <t>CD79B</t>
  </si>
  <si>
    <t>AGM6|B29|IGB</t>
  </si>
  <si>
    <t>CD81</t>
  </si>
  <si>
    <t>CVID6|S5.7|TAPA1|TSPAN28</t>
  </si>
  <si>
    <t>CD8A</t>
  </si>
  <si>
    <t>CD8|Leu2|p32</t>
  </si>
  <si>
    <t>CD96</t>
  </si>
  <si>
    <t>TACTILE</t>
  </si>
  <si>
    <t>CDAN1</t>
  </si>
  <si>
    <t>CDA1|CDAI|CDAN1A|DLT|PRO1295</t>
  </si>
  <si>
    <t>DERM (AR);IJZER (AR);OMIM (AR);PCS (AR)</t>
  </si>
  <si>
    <t>CDC14A</t>
  </si>
  <si>
    <t>DFNB105|DFNB32|DFNB35|cdc14|hCDC14</t>
  </si>
  <si>
    <t>CDC42</t>
  </si>
  <si>
    <t>CDC42Hs|G25K|TKS</t>
  </si>
  <si>
    <t>DOOF (AD);HEMOS (AD);IMMUUN (AD);LENGTE (AD);MR (AD);OMIM (AD)</t>
  </si>
  <si>
    <t>CDC42BPB</t>
  </si>
  <si>
    <t>MRCKB</t>
  </si>
  <si>
    <t>CDC45</t>
  </si>
  <si>
    <t>CDC45L|CDC45L2|MGORS7|PORC-PI-1</t>
  </si>
  <si>
    <t>CFA (AR);LENGTE (AR);OMIM (AR);PCS (AR);SCHISIS (AR)</t>
  </si>
  <si>
    <t>CDC6</t>
  </si>
  <si>
    <t>CDC18L|HsCDC18|HsCDC6|MGORS5</t>
  </si>
  <si>
    <t>CDC73</t>
  </si>
  <si>
    <t>C1orf28|FIHP|HPTJT|HRPT1|HRPT2|HYX</t>
  </si>
  <si>
    <t>LENGTE (AD);OMIM (AD);TUMOR (AD)</t>
  </si>
  <si>
    <t>CDCA7</t>
  </si>
  <si>
    <t>ICF3|JPO1</t>
  </si>
  <si>
    <t>CDH1</t>
  </si>
  <si>
    <t>Arc-1|BCDS1|CD324|CDHE|ECAD|LCAM|UVO</t>
  </si>
  <si>
    <t>BRSTKNK (AD);OMIM (AD);SCHISIS (AD);TUMOR (AD)</t>
  </si>
  <si>
    <t>CDH11</t>
  </si>
  <si>
    <t>CAD11|CDHOB|ESWS|OB|OSF-4</t>
  </si>
  <si>
    <t>CDH15</t>
  </si>
  <si>
    <t>CDH14|CDH3|CDHM|MCAD|MRD3</t>
  </si>
  <si>
    <t>MR (AD);OMIM (AD;UK,AR,AD,XL)</t>
  </si>
  <si>
    <t>CDH2</t>
  </si>
  <si>
    <t>ACOGS|ARVD14|CD325|CDHN|CDw325|NCAD</t>
  </si>
  <si>
    <t>BLIND (AD);HART (AD);OMIM (AD)</t>
  </si>
  <si>
    <t>CDH23</t>
  </si>
  <si>
    <t>CDHR23|PITA5|USH1D</t>
  </si>
  <si>
    <t>BLIND (AR);DOOF (AR);OMIM (AD;AR;UK,AR,AD,XL);PCS (AR);TUMOR (AD)</t>
  </si>
  <si>
    <t>CDH3</t>
  </si>
  <si>
    <t>CDHP|HJMD|PCAD</t>
  </si>
  <si>
    <t>BLIND (AR);DERM (AR);OMIM (AR);PCS (AR)</t>
  </si>
  <si>
    <t>CDHR1</t>
  </si>
  <si>
    <t>CORD15|PCDH21|PRCAD|RP65</t>
  </si>
  <si>
    <t>CDIN1</t>
  </si>
  <si>
    <t>C15orf41|HH114</t>
  </si>
  <si>
    <t>C15orf41</t>
  </si>
  <si>
    <t>IJZER (AR);OMIM (AR);PCS (AR)</t>
  </si>
  <si>
    <t>CDK10</t>
  </si>
  <si>
    <t>ALSAS|PISSLRE</t>
  </si>
  <si>
    <t>BLIND (AR);MR (AR);OMIM (AR);PCS (AR)</t>
  </si>
  <si>
    <t>CDK13</t>
  </si>
  <si>
    <t>CDC2L|CDC2L5|CHDFIDD|CHED|hCDK13</t>
  </si>
  <si>
    <t>CDK19</t>
  </si>
  <si>
    <t>CDC2L6|CDK11|DEE87|EIEE87|bA346C16.3</t>
  </si>
  <si>
    <t>CDK4</t>
  </si>
  <si>
    <t>CMM3|PSK-J3</t>
  </si>
  <si>
    <t>DERM (AD);MELANOOM (AD);OMIM (AD);TUMOR (AD)</t>
  </si>
  <si>
    <t>CDK5</t>
  </si>
  <si>
    <t>LIS7|PSSALRE</t>
  </si>
  <si>
    <t>CDK5RAP2</t>
  </si>
  <si>
    <t>C48|Cep215|MCPH3</t>
  </si>
  <si>
    <t>CDK6</t>
  </si>
  <si>
    <t>MCPH12|PLSTIRE</t>
  </si>
  <si>
    <t>CDK8</t>
  </si>
  <si>
    <t>IDDHBA|K35</t>
  </si>
  <si>
    <t>CDKL5</t>
  </si>
  <si>
    <t>CFAP247|DEE2|EIEE2|ISSX|STK9</t>
  </si>
  <si>
    <t>CDKN1A</t>
  </si>
  <si>
    <t>CAP20|CDKN1|CIP1|MDA-6|P21|SDI1|WAF1|p21CIP1</t>
  </si>
  <si>
    <t>CDKN1B</t>
  </si>
  <si>
    <t>CDKN4|KIP1|MEN1B|MEN4|P27KIP1</t>
  </si>
  <si>
    <t>CDKN1C</t>
  </si>
  <si>
    <t>BWCR|BWS|KIP2|WBS|p57|p57Kip2</t>
  </si>
  <si>
    <t>DSD (AD);LENGTE (AD,IMP);MR (AD,IMP);OMIM (AD,IMP);SCHISIS (AD,IMP);TUMOR (AD)</t>
  </si>
  <si>
    <t>CDKN2A</t>
  </si>
  <si>
    <t>ARF|CDK4I|CDKN2|CMM2|INK4|INK4A|MLM|MTS-1|MTS1|P14|P14ARF|P16|P16-INK4A|P16INK4|P16INK4A|P19|P19ARF|TP16</t>
  </si>
  <si>
    <t>ANEURYSM (AD);DERM (AD);MELANOOM (AD);OMIM (AD);TUMOR (AD)</t>
  </si>
  <si>
    <t>CDKN2B</t>
  </si>
  <si>
    <t>CDK4I|INK4B|MTS2|P15|TP15|p15INK4b</t>
  </si>
  <si>
    <t>ANEURYSM (AD);IMMUUN (AD,AR);OMIM (AD;AD,AR);TUMOR (AD)</t>
  </si>
  <si>
    <t>CDKN2B-AS1</t>
  </si>
  <si>
    <t>ANRIL|CDKN2B-AS|CDKN2BAS|NCRNA00089|PCAT12|p15AS</t>
  </si>
  <si>
    <t>CDKN2C</t>
  </si>
  <si>
    <t>INK4C|p18|p18-INK4C</t>
  </si>
  <si>
    <t>CDON</t>
  </si>
  <si>
    <t>CDO|CDON1|HPE11|ORCAM</t>
  </si>
  <si>
    <t>CFA (AD);MR (AD);OMIM (AD)</t>
  </si>
  <si>
    <t>CDSN</t>
  </si>
  <si>
    <t>HTSS|HTSS1|HYPT2|PSS|PSS1|S</t>
  </si>
  <si>
    <t>CFA (AD,AR);DERM (AD,AR);OMIM (AR;AD,AR);PCS (AR)</t>
  </si>
  <si>
    <t>CDT1</t>
  </si>
  <si>
    <t>DUP|RIS2</t>
  </si>
  <si>
    <t>CEACAM16</t>
  </si>
  <si>
    <t>CEAL2|DFNA4B|DFNB113</t>
  </si>
  <si>
    <t>DOOF (AD,AR);OMIM (AR;AD,AR);PCS (AR)</t>
  </si>
  <si>
    <t>CEBPA</t>
  </si>
  <si>
    <t>C/EBP-alpha|CEBP</t>
  </si>
  <si>
    <t>BMF (AD);OMIM (AD;UK,AR,AD,XL);TUMOR (AD)</t>
  </si>
  <si>
    <t>CEBPE</t>
  </si>
  <si>
    <t>C/EBP-epsilon|CRP1|c/EBP epsilon</t>
  </si>
  <si>
    <t>CEL</t>
  </si>
  <si>
    <t>BAL|BSDL|BSSL|CELL|CEase|FAP|FAPP|LIPA|MODY8</t>
  </si>
  <si>
    <t>CELA2A</t>
  </si>
  <si>
    <t>AOMS4|ELA2A|PE-1</t>
  </si>
  <si>
    <t>CELSR1</t>
  </si>
  <si>
    <t>ADGRC1|CDHF9|FMI2|HFMI2|ME2</t>
  </si>
  <si>
    <t>CENPE</t>
  </si>
  <si>
    <t>CENP-E|KIF10|MCPH13|PPP1R61</t>
  </si>
  <si>
    <t>CENPF</t>
  </si>
  <si>
    <t>CENF|CILD31|PRO1779|STROMS|hcp-1</t>
  </si>
  <si>
    <t>CENPJ</t>
  </si>
  <si>
    <t>BM032|CENP-J|CPAP|LAP|LIP1|MCPH6|SASS4|SCKL4|Sas-4</t>
  </si>
  <si>
    <t>CENPS</t>
  </si>
  <si>
    <t>APITD1|CENP-S|FAAP16|MHF1</t>
  </si>
  <si>
    <t>CEP104</t>
  </si>
  <si>
    <t>CFAP256|GlyBP|JBTS25|KIAA0562|ROC22</t>
  </si>
  <si>
    <t>CEP120</t>
  </si>
  <si>
    <t>CCDC100|JBTS31|SRTD13</t>
  </si>
  <si>
    <t>BLIND (AR);CILIO (AR);LENGTE (AR);MR (AR);NIER (AR);OMIM (AR);PCS (AR)</t>
  </si>
  <si>
    <t>CEP135</t>
  </si>
  <si>
    <t>CEP4|KIAA0635|MCPH8</t>
  </si>
  <si>
    <t>CEP152</t>
  </si>
  <si>
    <t>MCPH4|MCPH9|SCKL5</t>
  </si>
  <si>
    <t>CEP164</t>
  </si>
  <si>
    <t>NPHP15</t>
  </si>
  <si>
    <t>CEP19</t>
  </si>
  <si>
    <t>C3orf34|MOSPGF</t>
  </si>
  <si>
    <t>CEP250</t>
  </si>
  <si>
    <t>C-NAP1|CEP2|CNAP1|CRDHL2</t>
  </si>
  <si>
    <t>BLIND (AR);DOOF (AR);OMIM (AR)</t>
  </si>
  <si>
    <t>CEP290</t>
  </si>
  <si>
    <t>3H11Ag|BBS14|CT87|JBTS5|LCA10|MKS4|NPHP6|POC3|SLSN6|rd16</t>
  </si>
  <si>
    <t>CEP41</t>
  </si>
  <si>
    <t>JBTS15|TSGA14</t>
  </si>
  <si>
    <t>BLIND (AR);CILIO (AR);DSD (AR);MR (AR);NIER (AR);OMIM (AR);PCS (AR)</t>
  </si>
  <si>
    <t>CEP55</t>
  </si>
  <si>
    <t>C10orf3|CT111|MARCH|URCC6</t>
  </si>
  <si>
    <t>CILIO (AR);MR (AR);NIER (AR);OMIM (AR);PCS (AR)</t>
  </si>
  <si>
    <t>CEP57</t>
  </si>
  <si>
    <t>MVA2|PIG8|TSP57</t>
  </si>
  <si>
    <t>CEP63</t>
  </si>
  <si>
    <t>SCKL6</t>
  </si>
  <si>
    <t>CEP78</t>
  </si>
  <si>
    <t>C9orf81|CRDHL|IP63</t>
  </si>
  <si>
    <t>CEP83</t>
  </si>
  <si>
    <t>CCDC41|NPHP18|NY-REN-58</t>
  </si>
  <si>
    <t>BLIND (AR);CILIO (AR);LEVER (AR);MR (AR);NIER (AR);OMIM (AR);PCS (AR)</t>
  </si>
  <si>
    <t>CEP89</t>
  </si>
  <si>
    <t>CCDC123|CEP123</t>
  </si>
  <si>
    <t>MR (AR);OMIM (AR);OXPHOS (AR)</t>
  </si>
  <si>
    <t>CERKL</t>
  </si>
  <si>
    <t>RP26</t>
  </si>
  <si>
    <t>BLIND (AR);METAB (AR);OMIM (AR;UK,AR,AD,XL);PCS (AR)</t>
  </si>
  <si>
    <t>CERS1</t>
  </si>
  <si>
    <t>EPM8|GDF-1|GDF1|LAG1|LASS1|UOG1</t>
  </si>
  <si>
    <t>CERS3</t>
  </si>
  <si>
    <t>ARCI9|LASS3</t>
  </si>
  <si>
    <t>CERT1</t>
  </si>
  <si>
    <t>CERT|CERTL|COL4A3BP|GPBP|MRD34|STARD11</t>
  </si>
  <si>
    <t>CES1</t>
  </si>
  <si>
    <t>ACAT|CE-1|CEH|CES2|HMSE|HMSE1|PCE-1|REH|SES1|TGH|hCE-1</t>
  </si>
  <si>
    <t>CETP</t>
  </si>
  <si>
    <t>BPIFF|HDLCQ10</t>
  </si>
  <si>
    <t>CFAP251</t>
  </si>
  <si>
    <t>CaM-IP4|SPGF33|WDR66</t>
  </si>
  <si>
    <t>WDR66</t>
  </si>
  <si>
    <t>CFAP298</t>
  </si>
  <si>
    <t>C21orf48|C21orf59|CILD26|FBB18|Kur</t>
  </si>
  <si>
    <t>CFAP300</t>
  </si>
  <si>
    <t>C11orf70|CILD38|FBB5</t>
  </si>
  <si>
    <t>CFAP410</t>
  </si>
  <si>
    <t>C21orf2|LRRC76|RDMS|SMDAX|YF5/A2</t>
  </si>
  <si>
    <t>BLIND (AR);CILIO (AR);LENGTE (AR);OMIM (AR);PCS (AR)</t>
  </si>
  <si>
    <t>CFAP43</t>
  </si>
  <si>
    <t>C10orf79|HYDNP1|SPGF19|WDR96|bA373N18.2</t>
  </si>
  <si>
    <t>CFAP44</t>
  </si>
  <si>
    <t>SPGF20|WDR52</t>
  </si>
  <si>
    <t>CFAP53</t>
  </si>
  <si>
    <t>CCDC11|HTX6</t>
  </si>
  <si>
    <t>CHD (AR);CILIO (AR);HART (AR);OMIM (AR);PCS (AR)</t>
  </si>
  <si>
    <t>CFAP58</t>
  </si>
  <si>
    <t>C10orf80|CCDC147|SPGF49|bA127L20.4|bA127L20.5|bA554P13.1</t>
  </si>
  <si>
    <t>CFAP69</t>
  </si>
  <si>
    <t>C7orf63|FAP69|SPGF24</t>
  </si>
  <si>
    <t>CFB</t>
  </si>
  <si>
    <t>AHUS4|ARMD14|BF|BFD|CFAB|CFBD|FB|FBI12|GBG|H2-Bf|PBF2</t>
  </si>
  <si>
    <t>HEMOS (AD);IMMUUN (AR);NIER (AD);OMIM (AD;AR;UK,AR,AD,XL)</t>
  </si>
  <si>
    <t>CFC1</t>
  </si>
  <si>
    <t>CFC1B|CRYPTIC|DTGA2|HTX2</t>
  </si>
  <si>
    <t>CHD (AD);CILIO (AD);HART (AD);LEVER (AD);OMIM (AD)</t>
  </si>
  <si>
    <t>CFD</t>
  </si>
  <si>
    <t>ADIPSIN|ADN|DF|PFD</t>
  </si>
  <si>
    <t>CFH</t>
  </si>
  <si>
    <t>AHUS1|AMBP1|ARMD4|ARMS1|CFHL3|FH|FHL1|HF|HF1|HF2|HUS</t>
  </si>
  <si>
    <t>BLIND (AD);HEMOS (AD,AR);IMMUUN (AD,AR);NIER (AD,AR);OMIM (AD;AR;AD,AR);PCS (AR)</t>
  </si>
  <si>
    <t>CFHR1</t>
  </si>
  <si>
    <t>CFHL|CFHL1|CFHL1P|CFHR1P|FHR-1|FHR1|H36|H36-1|H36-2|HFL1|HFL2</t>
  </si>
  <si>
    <t>HEMOS (AD,AR);IMMUUN (AR);NIER (AD,AR);OMIM (AD,AR)</t>
  </si>
  <si>
    <t>CFHR2</t>
  </si>
  <si>
    <t>CFHL2|FHR2|HFL3</t>
  </si>
  <si>
    <t>CFHR3</t>
  </si>
  <si>
    <t>CFHL3|DOWN16|FHR-3|FHR3|HLF4</t>
  </si>
  <si>
    <t>CFHR4</t>
  </si>
  <si>
    <t>CFHL4|FHR-4|FHR4</t>
  </si>
  <si>
    <t>CFHR5</t>
  </si>
  <si>
    <t>CFHL5|CFHR5D|FHR-5|FHR5</t>
  </si>
  <si>
    <t>CFI</t>
  </si>
  <si>
    <t>AHUS3|ARMD13|C3BINA|C3b-INA|FI|IF|KAF</t>
  </si>
  <si>
    <t>HEMOS (AD);IMMUUN (AR);NIER (AD);OMIM (AD;AR);PCS (AR)</t>
  </si>
  <si>
    <t>CFL2</t>
  </si>
  <si>
    <t>NEM7</t>
  </si>
  <si>
    <t>OMIM (AR);PCS (AR);SPIER (AR)</t>
  </si>
  <si>
    <t>CFP</t>
  </si>
  <si>
    <t>BFD|PFC|PFD|PROPERDIN</t>
  </si>
  <si>
    <t>CFTR</t>
  </si>
  <si>
    <t>ABC35|ABCC7|CF|CFTR/MRP|MRP7|TNR-CFTR|dJ760C5.1</t>
  </si>
  <si>
    <t>IMMUUN (AD,AR);LEVER (AR);METAB (AR);OMIM (AD,AR);PCS (AR)</t>
  </si>
  <si>
    <t>CHAMP1</t>
  </si>
  <si>
    <t>C13orf8|CAMP|CHAMP|MRD40|ZNF828</t>
  </si>
  <si>
    <t>CHAT</t>
  </si>
  <si>
    <t>CHOACTASE|CMS1A|CMS1A2|CMS6</t>
  </si>
  <si>
    <t>CHCHD10</t>
  </si>
  <si>
    <t>C22orf16|FTDALS2|IMMD|MIX17A|N27C7-4|SMAJ</t>
  </si>
  <si>
    <t>ALS (AD);HMSN (AD);OMIM (AR;AD);OXPHOS (AR);SPIER (AD)</t>
  </si>
  <si>
    <t>CHCHD2</t>
  </si>
  <si>
    <t>C7orf17|MIX17B|MNRR1|NS2TP|PARK22</t>
  </si>
  <si>
    <t>OMIM (AD);OXPHOS (AD);PARK (AD)</t>
  </si>
  <si>
    <t>CHD1</t>
  </si>
  <si>
    <t>CHD-1|PILBOS</t>
  </si>
  <si>
    <t>CHD2</t>
  </si>
  <si>
    <t>EEOC</t>
  </si>
  <si>
    <t>CHD3</t>
  </si>
  <si>
    <t>Mi-2a|Mi2-ALPHA|SNIBCPS|ZFH</t>
  </si>
  <si>
    <t>CHD4</t>
  </si>
  <si>
    <t>CHD-4|Mi-2b|Mi2-BETA|SIHIWES</t>
  </si>
  <si>
    <t>CHD7</t>
  </si>
  <si>
    <t>CRG|HH5|IS3|KAL5</t>
  </si>
  <si>
    <t>BLIND (AD);CFA (AD);CHD (AD);DOOF (AD);DSD (AD);HART (AD);HH (AD);IMMUUN (AD);MR (AD);OMIM (AD);SCHISIS (AD)</t>
  </si>
  <si>
    <t>CHD8</t>
  </si>
  <si>
    <t>AUTS18|HELSNF1</t>
  </si>
  <si>
    <t>LEVER (AD);MR (AD);OMIM (AD)</t>
  </si>
  <si>
    <t>CHEK2</t>
  </si>
  <si>
    <t>CDS1|CHK2|HuCds1|LFS2|PP1425|RAD53|hCds1</t>
  </si>
  <si>
    <t>BRSTKNK (AD,AR);OMIM (AD,AR;UK,AR,AD,XL);TUMOR (AD,AR)</t>
  </si>
  <si>
    <t>CHIT1</t>
  </si>
  <si>
    <t>CHI3|CHIT|CHITD</t>
  </si>
  <si>
    <t>CHKB</t>
  </si>
  <si>
    <t>CHETK|CHKL|CK|CKB|CKEKB|EK|EKB|MDCMC</t>
  </si>
  <si>
    <t>DERM (AR);HART (AR);METAB (AR);MR (AR);OMIM (AR);OXPHOS (AR);PCS (AR);SPIER (AR)</t>
  </si>
  <si>
    <t>CHM</t>
  </si>
  <si>
    <t>DXS540|GGTA|HSD-32|REP-1|TCD</t>
  </si>
  <si>
    <t>CHMP1A</t>
  </si>
  <si>
    <t>CHMP1|PCH8|PCOLN3|PRSM1|VPS46-1|VPS46A</t>
  </si>
  <si>
    <t>CHMP2B</t>
  </si>
  <si>
    <t>ALS17|CHMP2.5|DMT1|FTDALS7|VPS2-2|VPS2B</t>
  </si>
  <si>
    <t>ALS (AD);OMIM (AD;AR);PARK (AR)</t>
  </si>
  <si>
    <t>CHMP4B</t>
  </si>
  <si>
    <t>C20orf178|CHMP4A|CTPP3|CTRCT31|SNF7|SNF7-2|Shax1|VPS32B|Vps32-2|dJ553F4.4</t>
  </si>
  <si>
    <t>CHN1</t>
  </si>
  <si>
    <t>ARHGAP2|CHN|DURS2|NC|RHOGAP2</t>
  </si>
  <si>
    <t>CHP1</t>
  </si>
  <si>
    <t>CHP|SLC9A1BP|SPAX9|Sid470p|p22|p24</t>
  </si>
  <si>
    <t>CHRDL1</t>
  </si>
  <si>
    <t>CHL|MGC1|MGCN|NRLN1|VOPT|dA141H5.1</t>
  </si>
  <si>
    <t>BLIND (XLR);OMIM (XLR)</t>
  </si>
  <si>
    <t>CHRM2</t>
  </si>
  <si>
    <t>HM2</t>
  </si>
  <si>
    <t>CHRM3</t>
  </si>
  <si>
    <t>EGBRS|HM3|PBS</t>
  </si>
  <si>
    <t>LEVER (AR);NIER (AR);OMIM (AR);PCS (AR)</t>
  </si>
  <si>
    <t>CHRNA1</t>
  </si>
  <si>
    <t>ACHRA|ACHRD|CHRNA|CMS1A|CMS1B|CMS2A|FCCMS|SCCMS</t>
  </si>
  <si>
    <t>AKI (AR);OMIM (AR;AD,AR);PCS (AR);SPIER (AR)</t>
  </si>
  <si>
    <t>CHRNA2</t>
  </si>
  <si>
    <t>EPI (AD);OMIM (AD)</t>
  </si>
  <si>
    <t>CHRNA3</t>
  </si>
  <si>
    <t>BAIPRCK|LNCR2|NACHRA3|PAOD2</t>
  </si>
  <si>
    <t>LEVER (AR);NIER (AR);OMIM (AR)</t>
  </si>
  <si>
    <t>CHRNA4</t>
  </si>
  <si>
    <t>BFNC|EBN|EBN1|NACHR|NACHRA4|NACRA4</t>
  </si>
  <si>
    <t>CHRNB1</t>
  </si>
  <si>
    <t>ACHRB|CHRNB|CMS1D|CMS2A|CMS2C|SCCMS</t>
  </si>
  <si>
    <t>CHRNB2</t>
  </si>
  <si>
    <t>EFNL3|nAChRB2</t>
  </si>
  <si>
    <t>EPI (AD);OMIM (AD;UK,AR,AD,XL)</t>
  </si>
  <si>
    <t>CHRND</t>
  </si>
  <si>
    <t>ACHRD|CMS2A|CMS3A|CMS3B|CMS3C|FCCMS|SCCMS</t>
  </si>
  <si>
    <t>CHRNE</t>
  </si>
  <si>
    <t>ACHRE|CMS1D|CMS1E|CMS2A|CMS4A|CMS4B|CMS4C|FCCMS|SCCMS</t>
  </si>
  <si>
    <t>CHRNG</t>
  </si>
  <si>
    <t>ACHRG</t>
  </si>
  <si>
    <t>AKI (AR);OMIM (AR);PCS (AR);SCHISIS (AR);SPIER (AR)</t>
  </si>
  <si>
    <t>CHST11</t>
  </si>
  <si>
    <t>C4ST|C4ST-1|C4ST1|HSA269537|OCBMD</t>
  </si>
  <si>
    <t>CHST14</t>
  </si>
  <si>
    <t>ATCS|D4ST1|EDSMC1|HNK1ST</t>
  </si>
  <si>
    <t>AKI (AR);DERM (AR);HEMOS (AR);LENGTE (AR);METAB (AR);OMIM (AR);PCS (AR);SCHISIS (AR)</t>
  </si>
  <si>
    <t>CHST3</t>
  </si>
  <si>
    <t>C6ST|C6ST1|HSD</t>
  </si>
  <si>
    <t>CHST6</t>
  </si>
  <si>
    <t>C-GlcNAc6ST|GST4-beta|MCDC1|glcNAc6ST-5|gn6st-5|hCGn6ST</t>
  </si>
  <si>
    <t>CHST8</t>
  </si>
  <si>
    <t>GALNAC4ST1|GalNAc4ST|PSS3</t>
  </si>
  <si>
    <t>CHSY1</t>
  </si>
  <si>
    <t>CHSY|CSS1|ChSy-1|TPBS</t>
  </si>
  <si>
    <t>DERM (AR);DOOF (AR);LENGTE (AR);METAB (AR);OMIM (AR);PCS (AR)</t>
  </si>
  <si>
    <t>CHUK</t>
  </si>
  <si>
    <t>IKBKA|IKK-alpha|IKK1|IKKA|NFKBIKA|TCF16</t>
  </si>
  <si>
    <t>DERM (AR);OMIM (AR;UK,AR,AD,XL);PCS (AR)</t>
  </si>
  <si>
    <t>CIB1</t>
  </si>
  <si>
    <t>CIB|CIBP|KIP1|PRKDCIP|SIP2-28</t>
  </si>
  <si>
    <t>CIB2</t>
  </si>
  <si>
    <t>DFNB48|KIP2|USH1J</t>
  </si>
  <si>
    <t>CIBAR1</t>
  </si>
  <si>
    <t>BARMR1|FAM92A|FAM92A1|PAPA9</t>
  </si>
  <si>
    <t>FAM92A</t>
  </si>
  <si>
    <t>CIC</t>
  </si>
  <si>
    <t>MRD45</t>
  </si>
  <si>
    <t>CIDEC</t>
  </si>
  <si>
    <t>CIDE-3|CIDE3|FPLD5|FSP27</t>
  </si>
  <si>
    <t>CIITA</t>
  </si>
  <si>
    <t>C2TA|CIITAIV|MHC2TA|NLRA</t>
  </si>
  <si>
    <t>CILK1</t>
  </si>
  <si>
    <t>ECO|EJM10|ICK|LCK2|MRK|hICK</t>
  </si>
  <si>
    <t>EPI (AD);LENGTE (AR);OMIM (AD;AR);PCS (AR);SCHISIS (AR)</t>
  </si>
  <si>
    <t>CISD2</t>
  </si>
  <si>
    <t>ERIS|Miner1|NAF-1|WFS2|ZCD2</t>
  </si>
  <si>
    <t>BLIND (AR);DOOF (AR);OMIM (AR);OXPHOS (AR);PCS (AR)</t>
  </si>
  <si>
    <t>CIT</t>
  </si>
  <si>
    <t>CITK|CRIK|MCPH17|STK21</t>
  </si>
  <si>
    <t>CITED2</t>
  </si>
  <si>
    <t>ASD8|MRG-1|MRG1|P35SRJ|VSD2</t>
  </si>
  <si>
    <t>CKAP2L</t>
  </si>
  <si>
    <t>DERM (AR);LENGTE (AR);MR (AR);OMIM (AR);PCS (AR)</t>
  </si>
  <si>
    <t>CLCC1</t>
  </si>
  <si>
    <t>MCLC|RP32</t>
  </si>
  <si>
    <t>CLCF1</t>
  </si>
  <si>
    <t>BSF-3|BSF3|CISS2|CLC|NNT-1|NNT1|NR6</t>
  </si>
  <si>
    <t>CLCN1</t>
  </si>
  <si>
    <t>CLC1</t>
  </si>
  <si>
    <t>OMIM (AD,AR);PCS (AR);SPIER (AD,AR)</t>
  </si>
  <si>
    <t>CLCN2</t>
  </si>
  <si>
    <t>CIC-2|CLC2|ECA2|ECA3|EGI11|EGI3|EGMA|EJM6|EJM8|HALD2|LKPAT|clC-2</t>
  </si>
  <si>
    <t>BEWEGING (AR);NIER (AD,AR);OMIM (AR;AD,AR);PCS (AR)</t>
  </si>
  <si>
    <t>CLCN4</t>
  </si>
  <si>
    <t>CLC4|ClC-4|ClC-4A|MRX15|MRX49|MRXSRC</t>
  </si>
  <si>
    <t>BEWEGING (XL);EPI (XL);MR (XL);OMIM (XL)</t>
  </si>
  <si>
    <t>CLCN5</t>
  </si>
  <si>
    <t>CLC5|CLCK2|ClC-5|DENTS|NPHL1|NPHL2|XLRH|XRN|hCIC-K2</t>
  </si>
  <si>
    <t>LENGTE (XLR);NIER (XLR);OMIM (XLR)</t>
  </si>
  <si>
    <t>CLCN7</t>
  </si>
  <si>
    <t>CLC-7|CLC7|HOD|OPTA2|OPTB4|PPP1R63</t>
  </si>
  <si>
    <t>IMMUUN (AD,AR);LENGTE (AD,AR);METAB (AD);OMIM (AD,AR);PCS (AR)</t>
  </si>
  <si>
    <t>CLCNKA</t>
  </si>
  <si>
    <t>CLCK1|ClC-K1|hClC-Ka</t>
  </si>
  <si>
    <t>CLCNKB</t>
  </si>
  <si>
    <t>CLCKB|ClC-K2|ClC-Kb</t>
  </si>
  <si>
    <t>NIER (AR);OMIM (AR;UK,AR,AD,XL);PCS (AR)</t>
  </si>
  <si>
    <t>CLDN1</t>
  </si>
  <si>
    <t>CLD1|ILVASC|SEMP1</t>
  </si>
  <si>
    <t>DERM (AR);LEVER (AR);OMIM (AR);PCS (AR)</t>
  </si>
  <si>
    <t>CLDN10</t>
  </si>
  <si>
    <t>CPETRL3|HELIX|OSP-L|OSPL</t>
  </si>
  <si>
    <t>DERM (AR);NIER (AR);OMIM (AR);PCS (AR)</t>
  </si>
  <si>
    <t>CLDN14</t>
  </si>
  <si>
    <t>DFNB29</t>
  </si>
  <si>
    <t>CLDN16</t>
  </si>
  <si>
    <t>HOMG3|PCLN1</t>
  </si>
  <si>
    <t>EPI (AR);NIER (AR);OMIM (AR);PCS (AR)</t>
  </si>
  <si>
    <t>CLDN19</t>
  </si>
  <si>
    <t>HOMG5</t>
  </si>
  <si>
    <t>BLIND (AR);EPI (AR);NIER (AR);OMIM (AR);PCS (AR)</t>
  </si>
  <si>
    <t>CLDN9</t>
  </si>
  <si>
    <t>DFNB116</t>
  </si>
  <si>
    <t>CLEC4D</t>
  </si>
  <si>
    <t>CD368|CLEC-6|CLEC6|CLECSF8|Dectin-3|MCL|MPCL</t>
  </si>
  <si>
    <t>CLEC7A</t>
  </si>
  <si>
    <t>BGR|CANDF4|CD369|CLECSF12|DECTIN1|SCARE2</t>
  </si>
  <si>
    <t>CLIC2</t>
  </si>
  <si>
    <t>CLCNL2|CLIC2b|MRXS32|XAP121</t>
  </si>
  <si>
    <t>CLIC5</t>
  </si>
  <si>
    <t>DFNB102|DFNB103|MST130|MSTP130</t>
  </si>
  <si>
    <t>CLIP1</t>
  </si>
  <si>
    <t>CLIP|CLIP-170|CLIP170|CYLN1|RSN</t>
  </si>
  <si>
    <t>CLMP</t>
  </si>
  <si>
    <t>ACAM|ASAM|CSBM|CSBS</t>
  </si>
  <si>
    <t>CLN3</t>
  </si>
  <si>
    <t>BTN1|BTS|JNCL</t>
  </si>
  <si>
    <t>BLIND (AR);EPI (AR);METAB (AR);MR (AR);OMIM (AR);PCS (AR)</t>
  </si>
  <si>
    <t>CLN5</t>
  </si>
  <si>
    <t>CLN6</t>
  </si>
  <si>
    <t>CLN4A|HsT18960|nclf</t>
  </si>
  <si>
    <t>CLN8</t>
  </si>
  <si>
    <t>C8orf61|EPMR|TLCD6</t>
  </si>
  <si>
    <t>CLP1</t>
  </si>
  <si>
    <t>HEAB|hClp1</t>
  </si>
  <si>
    <t>CLPB</t>
  </si>
  <si>
    <t>ANKCLB|HSP78|MEGCANN|MGCA7|SKD3</t>
  </si>
  <si>
    <t>BEWEGING (AR);BMF (AR);IMMUUN (AR);METAB (AR);MR (AR);OMIM (AR);OXPHOS (AR);PCS (AR)</t>
  </si>
  <si>
    <t>CLPP</t>
  </si>
  <si>
    <t>DFNB81|PRLTS3</t>
  </si>
  <si>
    <t>DOOF (AR);DSD (AR);OMIM (AR);OXPHOS (AR);PCS (AR)</t>
  </si>
  <si>
    <t>CLPX</t>
  </si>
  <si>
    <t>EPP2</t>
  </si>
  <si>
    <t>CLRN1</t>
  </si>
  <si>
    <t>RP61|USH3|USH3A</t>
  </si>
  <si>
    <t>CLRN2</t>
  </si>
  <si>
    <t>DFNB117</t>
  </si>
  <si>
    <t>CLTC</t>
  </si>
  <si>
    <t>CHC|CHC17|CLH-17|CLTCL2|Hc|MRD56</t>
  </si>
  <si>
    <t>CLTCL1</t>
  </si>
  <si>
    <t>CHC22|CLH22|CLTCL|CLTD</t>
  </si>
  <si>
    <t>HNPD (AR);OMIM (AR)</t>
  </si>
  <si>
    <t>CLUAP1</t>
  </si>
  <si>
    <t>CFAP22|FAP22|IFT38</t>
  </si>
  <si>
    <t>CMAS</t>
  </si>
  <si>
    <t>CSS</t>
  </si>
  <si>
    <t>CNBP</t>
  </si>
  <si>
    <t>CNBP1|DM2|PROMM|RNF163|ZCCHC22|ZNF9</t>
  </si>
  <si>
    <t>CNGA1</t>
  </si>
  <si>
    <t>CNCG|CNCG1|CNG-1|CNG1|RCNC1|RCNCa|RCNCalpha|RP49</t>
  </si>
  <si>
    <t>BLIND (AR);OMIM (AR;UK,AR,AD,XL);PCS (AR)</t>
  </si>
  <si>
    <t>CNGA3</t>
  </si>
  <si>
    <t>ACHM2|CCNC1|CCNCa|CCNCalpha|CNCG3|CNG3</t>
  </si>
  <si>
    <t>CNGB1</t>
  </si>
  <si>
    <t>CNCG2|CNCG3L|CNCG4|CNG4|CNGB1B|GAR1|GARP|GARP2|RCNC2|RCNCb|RCNCbeta|RP45</t>
  </si>
  <si>
    <t>CNGB3</t>
  </si>
  <si>
    <t>ACHM1</t>
  </si>
  <si>
    <t>CNKSR2</t>
  </si>
  <si>
    <t>CNK2|KSR2|MAGUIN|MRXSHG</t>
  </si>
  <si>
    <t>CNNM2</t>
  </si>
  <si>
    <t>ACDP2|HOMG6|HOMGSMR</t>
  </si>
  <si>
    <t>ANEURYSM (AD);EPI (AD);MR (AD);NIER (AD);OMIM (AD;AD,AR);PCS (AR)</t>
  </si>
  <si>
    <t>CNNM4</t>
  </si>
  <si>
    <t>ACDP4</t>
  </si>
  <si>
    <t>CNOT1</t>
  </si>
  <si>
    <t>AD-005|CDC39|HPE12|NOT1|NOT1H|VIBOS</t>
  </si>
  <si>
    <t>CNOT2</t>
  </si>
  <si>
    <t>CDC36|HSPC131|IDNADFS|NOT2|NOT2H</t>
  </si>
  <si>
    <t>CNOT3</t>
  </si>
  <si>
    <t>IDDSADF|LENG2|NOT3|NOT3H</t>
  </si>
  <si>
    <t>CNPY3</t>
  </si>
  <si>
    <t>CAG4A|DEE60|EIEE60|ERDA5|PRAT4A|TNRC5</t>
  </si>
  <si>
    <t>CNTN1</t>
  </si>
  <si>
    <t>F3|GP135|MYPCN</t>
  </si>
  <si>
    <t>CNTN2</t>
  </si>
  <si>
    <t>AXT|FAME5|TAG-1|TAX|TAX1</t>
  </si>
  <si>
    <t>EPI (AR);OMIM (AR);PCS (AR)</t>
  </si>
  <si>
    <t>CNTN3</t>
  </si>
  <si>
    <t>BIG-1|PANG|PCS</t>
  </si>
  <si>
    <t>CNTNAP1</t>
  </si>
  <si>
    <t>CASPR|CHN3|CNTNAP|NRXN4|P190</t>
  </si>
  <si>
    <t>AKI (AR);HMSN (AR);OMIM (AR);PCS (AR)</t>
  </si>
  <si>
    <t>CNTNAP2</t>
  </si>
  <si>
    <t>AUTS15|CASPR2|CDFE|NRXN4|PTHSL1</t>
  </si>
  <si>
    <t>COA1</t>
  </si>
  <si>
    <t>C7orf44|MITRAC15</t>
  </si>
  <si>
    <t>COA3</t>
  </si>
  <si>
    <t>CCDC56|COX25|HSPC009|MC4DN14|MITRAC12</t>
  </si>
  <si>
    <t>HMSN (AR);OMIM (AR);OXPHOS (AR)</t>
  </si>
  <si>
    <t>COA5</t>
  </si>
  <si>
    <t>6330578E17Rik|C2orf64|CEMCOX3|MC4DN9|Pet191</t>
  </si>
  <si>
    <t>COA6</t>
  </si>
  <si>
    <t>C1orf31|CEMCOX4|MC4DN13</t>
  </si>
  <si>
    <t>COA7</t>
  </si>
  <si>
    <t>C1orf163|RESA1|SCAN3|SELRC1</t>
  </si>
  <si>
    <t>HMSN (AR);OMIM (AR);OXPHOS (AR);PCS (AR)</t>
  </si>
  <si>
    <t>COA8</t>
  </si>
  <si>
    <t>APOP|APOP1|APOPT1|C14orf153|MC4DN17</t>
  </si>
  <si>
    <t>BLIND (AR);DOOF (AR);EPI (AR);MR (AR);OMIM (AR;UK,AR,AD,XL);OXPHOS (AR);PCS (AR)</t>
  </si>
  <si>
    <t>COASY</t>
  </si>
  <si>
    <t>DPCK|NBIA6|NBP|PCH12|PPAT|UKR1|pOV-2</t>
  </si>
  <si>
    <t>COCH</t>
  </si>
  <si>
    <t>COCH-5B2|COCH5B2|DFNA9|DFNB110</t>
  </si>
  <si>
    <t>DOOF (AD);OMIM (AD,AR);PCS (AR)</t>
  </si>
  <si>
    <t>COG1</t>
  </si>
  <si>
    <t>CDG2G|LDLB</t>
  </si>
  <si>
    <t>COG2</t>
  </si>
  <si>
    <t>CDG2Q|LDLC</t>
  </si>
  <si>
    <t>COG4</t>
  </si>
  <si>
    <t>CDG2J|COD1|SWILS</t>
  </si>
  <si>
    <t>LENGTE (AD);METAB (AR);MR (AR);OMIM (AR;AD;AD,AR);PCS (AR)</t>
  </si>
  <si>
    <t>COG5</t>
  </si>
  <si>
    <t>CDG2I|GOLTC1|GTC90</t>
  </si>
  <si>
    <t>COG6</t>
  </si>
  <si>
    <t>CDG2L|COD2|SHNS</t>
  </si>
  <si>
    <t>COG7</t>
  </si>
  <si>
    <t>CDG2E</t>
  </si>
  <si>
    <t>COG8</t>
  </si>
  <si>
    <t>CDG2H|DOR1</t>
  </si>
  <si>
    <t>COL10A1</t>
  </si>
  <si>
    <t>COL11A1</t>
  </si>
  <si>
    <t>CO11A1|COLL6|DFNA37|STL2</t>
  </si>
  <si>
    <t>ANEURYSM (AR);BLIND (AD);CFA (AD,AR);DOOF (AD);LENGTE (AD,AR);OMIM (AD;AD,AR);PCS (AR);SCHISIS (AD)</t>
  </si>
  <si>
    <t>COL11A2</t>
  </si>
  <si>
    <t>DFNA13|DFNB53|FBCG2|HKE5|OSMEDA|OSMEDB|PARP|STL3</t>
  </si>
  <si>
    <t>CFA (AD,AR);DOOF (AD,AR);LENGTE (AD,AR);OMIM (AD,AR);PCS (AR);SCHISIS (AD,AR)</t>
  </si>
  <si>
    <t>COL12A1</t>
  </si>
  <si>
    <t>BA209D8.1|BTHLM2|COL12A1L|DJ234P15.1|EDSMYP|UCMD2</t>
  </si>
  <si>
    <t>COL13A1</t>
  </si>
  <si>
    <t>CMS19|COLXIIIA1</t>
  </si>
  <si>
    <t>COL14A1</t>
  </si>
  <si>
    <t>UND</t>
  </si>
  <si>
    <t>COL17A1</t>
  </si>
  <si>
    <t>BA16H23.2|BP180|BPA-2|BPAG2|ERED|LAD-1</t>
  </si>
  <si>
    <t>DERM (AR);OMIM (AD,AR);PCS (AR)</t>
  </si>
  <si>
    <t>COL18A1</t>
  </si>
  <si>
    <t>GLCC|KNO|KNO1|KS</t>
  </si>
  <si>
    <t>COL1A1</t>
  </si>
  <si>
    <t>CAFYD|EDSARTH1|EDSC|OI1|OI2|OI3|OI4</t>
  </si>
  <si>
    <t>ANEURYSM (AD);HEMOS (AD);LENGTE (AD);OMIM (AD)</t>
  </si>
  <si>
    <t>COL1A2</t>
  </si>
  <si>
    <t>EDSARTH2|EDSCV|OI4</t>
  </si>
  <si>
    <t>ANEURYSM (AD);DERM (AR);LENGTE (AD,AR);OMIM (AR;AD;AD,AR);PCS (AR)</t>
  </si>
  <si>
    <t>COL25A1</t>
  </si>
  <si>
    <t>AMY|CFEOM5|CLAC|CLAC-P|CLACP</t>
  </si>
  <si>
    <t>COL27A1</t>
  </si>
  <si>
    <t>STLS</t>
  </si>
  <si>
    <t>COL2A1</t>
  </si>
  <si>
    <t>ANFH|AOM|COL11A3|SEDC|STL1</t>
  </si>
  <si>
    <t>ANEURYSM (AD);BLIND (AD);CFA (AD);DOOF (AD,AR);LENGTE (AD,AR);OMIM (AD;AD,AR);SCHISIS (AD)</t>
  </si>
  <si>
    <t>COL3A1</t>
  </si>
  <si>
    <t>EDS4A|EDSVASC|PMGEDSV</t>
  </si>
  <si>
    <t>ANEURYSM (AD);DERM (AD);HART (AD);HEMOS (AD);OMIM (AD;AR;AD,AR);PCS (AR)</t>
  </si>
  <si>
    <t>COL4A1</t>
  </si>
  <si>
    <t>BSVD|BSVD1|COL4A1s|PADMAL|RATOR</t>
  </si>
  <si>
    <t>ANEURYSM (AD);BEWEGING (AD);BLIND (AD);EPI (AD);MR (AD);NIER (AD);OMIM (AD)</t>
  </si>
  <si>
    <t>COL4A2</t>
  </si>
  <si>
    <t>BSVD2|ICH|POREN2</t>
  </si>
  <si>
    <t>ANEURYSM (AD);BEWEGING (AD);MR (AD);OMIM (AD)</t>
  </si>
  <si>
    <t>COL4A3</t>
  </si>
  <si>
    <t>ATS2|ATS3</t>
  </si>
  <si>
    <t>ANEURYSM (AR);DOOF (AD,AR);NIER (AD,AR);OMIM (AD,AR);PCS (AR)</t>
  </si>
  <si>
    <t>COL4A4</t>
  </si>
  <si>
    <t>ATS2|BFH|CA44</t>
  </si>
  <si>
    <t>ANEURYSM (AR);DOOF (AR);NIER (AR);OMIM (AR;AD,AR);PCS (AR)</t>
  </si>
  <si>
    <t>COL4A5</t>
  </si>
  <si>
    <t>ASLN|ATS|ATS1|CA54</t>
  </si>
  <si>
    <t>ANEURYSM (XL);DOOF (XL);NIER (XLR);OMIM (XL;XLR)</t>
  </si>
  <si>
    <t>COL4A6</t>
  </si>
  <si>
    <t>CXDELq22.3|DELXq22.3|DFNX6</t>
  </si>
  <si>
    <t>DOOF (XL);OMIM (XL;XLR)</t>
  </si>
  <si>
    <t>COL5A1</t>
  </si>
  <si>
    <t>EDSC|EDSCL1</t>
  </si>
  <si>
    <t>COL5A2</t>
  </si>
  <si>
    <t>EDSC|EDSCL2</t>
  </si>
  <si>
    <t>COL6A1</t>
  </si>
  <si>
    <t>BTHLM1|OPLL|UCHMD1</t>
  </si>
  <si>
    <t>AKI (AD,AR);BEWEGING (AD,AR);OMIM (AD,AR);PCS (AR);SPIER (AD,AR)</t>
  </si>
  <si>
    <t>COL6A2</t>
  </si>
  <si>
    <t>BTHLM1|PP3610|UCMD1</t>
  </si>
  <si>
    <t>COL6A3</t>
  </si>
  <si>
    <t>BTHLM1|DYT27|UCMD1</t>
  </si>
  <si>
    <t>COL6A5</t>
  </si>
  <si>
    <t>COL29A1|VWA4</t>
  </si>
  <si>
    <t>COL7A1</t>
  </si>
  <si>
    <t>EBD1|EBDCT|EBR1|NDNC8</t>
  </si>
  <si>
    <t>ANEURYSM (AD);DERM (AD,AR);OMIM (AD,AR);PCS (AR)</t>
  </si>
  <si>
    <t>COL8A2</t>
  </si>
  <si>
    <t>FECD|FECD1|PPCD|PPCD2</t>
  </si>
  <si>
    <t>COL9A1</t>
  </si>
  <si>
    <t>DJ149L1.1.2|EDM6|MED|STL4</t>
  </si>
  <si>
    <t>BLIND (AR);CFA (AD);DOOF (AR);LENGTE (AD,AR);OMIM (AD;AR;AD,AR);PCS (AR);SCHISIS (AR)</t>
  </si>
  <si>
    <t>COL9A2</t>
  </si>
  <si>
    <t>DJ39G22.4|EDM2|MED|STL5</t>
  </si>
  <si>
    <t>BLIND (AR);CFA (AD,AR);DOOF (AR);LENGTE (AD,AR);OMIM (AR;AD,AR);PCS (AR)</t>
  </si>
  <si>
    <t>COL9A3</t>
  </si>
  <si>
    <t>DJ885L7.4.1|EDM3|IDD|MED</t>
  </si>
  <si>
    <t>BLIND (AR);CFA (AD);DOOF (AR);LENGTE (AD);OMIM (AR;AD)</t>
  </si>
  <si>
    <t>COLEC10</t>
  </si>
  <si>
    <t>3MC3|CL-34|CLL1</t>
  </si>
  <si>
    <t>OMIM (AR);PCS (AR);SCHISIS (AR)</t>
  </si>
  <si>
    <t>COLEC11</t>
  </si>
  <si>
    <t>3MC2|CL-K1-I|CL-K1-II|CL-K1-IIa|CL-K1-IIb|CLK1</t>
  </si>
  <si>
    <t>CFA (AR);IMMUUN (AR);LENGTE (AR);MR (AR);OMIM (AR);PCS (AR);SCHISIS (AR)</t>
  </si>
  <si>
    <t>COLGALT1</t>
  </si>
  <si>
    <t>BSVD3|ColGalT 1|GLT25D1</t>
  </si>
  <si>
    <t>COLQ</t>
  </si>
  <si>
    <t>CMS5|EAD</t>
  </si>
  <si>
    <t>COMP</t>
  </si>
  <si>
    <t>CTS2|EDM1|EPD1|MED|PSACH|THBS5|TSP5</t>
  </si>
  <si>
    <t>COMT</t>
  </si>
  <si>
    <t>HEL-S-98n</t>
  </si>
  <si>
    <t>COPA</t>
  </si>
  <si>
    <t>AILJK|HEP-COP|alpha-COP</t>
  </si>
  <si>
    <t>COPB2</t>
  </si>
  <si>
    <t>MCPH19|beta'-COP</t>
  </si>
  <si>
    <t>COQ2</t>
  </si>
  <si>
    <t>CL640|COQ10D1|MSA1|PHB:PPT</t>
  </si>
  <si>
    <t>BEWEGING (AR);EPI (AR);HART (AR);METAB (AR);MR (AR);NIER (AR);OMIM (AR);OXPHOS (AR);PCS (AR)</t>
  </si>
  <si>
    <t>COQ4</t>
  </si>
  <si>
    <t>CGI-92|COQ10D7</t>
  </si>
  <si>
    <t>BEWEGING (AR);EPI (AR);METAB (AR);MR (AR);OMIM (AR);OXPHOS (AR);PCS (AR)</t>
  </si>
  <si>
    <t>COQ5</t>
  </si>
  <si>
    <t>COQ10D9</t>
  </si>
  <si>
    <t>METAB (AR);OMIM (AR);OXPHOS (AR)</t>
  </si>
  <si>
    <t>COQ6</t>
  </si>
  <si>
    <t>CGI-10|CGI10|COQ10D6</t>
  </si>
  <si>
    <t>HNPD (AD,AR);METAB (AR);NIER (AR);OMIM (AR;AD,AR);OXPHOS (AR);PCS (AR)</t>
  </si>
  <si>
    <t>COQ7</t>
  </si>
  <si>
    <t>CAT5|CLK-1|CLK1|COQ10D8</t>
  </si>
  <si>
    <t>METAB (AR);NIER (AR);OMIM (AR);OXPHOS (AR);PCS (AR)</t>
  </si>
  <si>
    <t>COQ8A</t>
  </si>
  <si>
    <t>ADCK3|ARCA2|CABC1|COQ10D4|COQ8|SCAR9</t>
  </si>
  <si>
    <t>COQ8B</t>
  </si>
  <si>
    <t>ADCK4|NPHS9</t>
  </si>
  <si>
    <t>COQ9</t>
  </si>
  <si>
    <t>C16orf49|COQ10D5</t>
  </si>
  <si>
    <t>BEWEGING (AR);METAB (AR);MR (AR);NIER (AR);OMIM (AR);OXPHOS (AR);PCS (AR)</t>
  </si>
  <si>
    <t>CORIN</t>
  </si>
  <si>
    <t>ATC2|CRN|Lrp4|PEE5|TMPRSS10</t>
  </si>
  <si>
    <t>CORO1A</t>
  </si>
  <si>
    <t>CLABP|CLIPINA|HCORO1|IMD8|TACO|p57</t>
  </si>
  <si>
    <t>COX10</t>
  </si>
  <si>
    <t>MC4DN3</t>
  </si>
  <si>
    <t>MR (AR);OMIM (AR;UK,AR,AD,XL);OXPHOS (AR);PCS (AR)</t>
  </si>
  <si>
    <t>COX14</t>
  </si>
  <si>
    <t>C12orf62|MC4DN10|PCAG1</t>
  </si>
  <si>
    <t>COX15</t>
  </si>
  <si>
    <t>CEMCOX2|MC4DN6</t>
  </si>
  <si>
    <t>AKI (AR);HART (AR);MR (AR);OMIM (UK,AR,AD,XL);OXPHOS (AR);PCS (AR)</t>
  </si>
  <si>
    <t>COX16</t>
  </si>
  <si>
    <t>C14orf112|HSPC203|hCOX16</t>
  </si>
  <si>
    <t>COX20</t>
  </si>
  <si>
    <t>FAM36A|MC4DN11</t>
  </si>
  <si>
    <t>BEWEGING (AR);HMSN (AR);OMIM (AR;UK,AR,AD,XL);OXPHOS (AR);PCS (AR)</t>
  </si>
  <si>
    <t>COX4I1</t>
  </si>
  <si>
    <t>COX IV-1|COX4|COX4-1|COXIV|COXIV-1|MC4DN16</t>
  </si>
  <si>
    <t>COX4I2</t>
  </si>
  <si>
    <t>COX4|COX4-2|COX4B|COX4L2|COXIV-2|dJ857M17.2</t>
  </si>
  <si>
    <t>DERM (AR);OMIM (AR);OXPHOS (AR);PCS (AR)</t>
  </si>
  <si>
    <t>COX5A</t>
  </si>
  <si>
    <t>COX|COX-VA|MC4DN20|VA</t>
  </si>
  <si>
    <t>COX5B</t>
  </si>
  <si>
    <t>COXVB</t>
  </si>
  <si>
    <t>COX6A1</t>
  </si>
  <si>
    <t>CMTRID|COX6A|COX6AL</t>
  </si>
  <si>
    <t>COX6A2</t>
  </si>
  <si>
    <t>COX6AH|COXVIAH|MC4DN18</t>
  </si>
  <si>
    <t>OMIM (UK,AR,AD,XL);OXPHOS (AR);PCS (AR)</t>
  </si>
  <si>
    <t>COX6B1</t>
  </si>
  <si>
    <t>COX6B|COXG|COXVIb1|MC4DN7</t>
  </si>
  <si>
    <t>COX6B2</t>
  </si>
  <si>
    <t>COXVIB2|CT59</t>
  </si>
  <si>
    <t>COX6C</t>
  </si>
  <si>
    <t>COX7A1</t>
  </si>
  <si>
    <t>COX7A|COX7AH|COX7AM</t>
  </si>
  <si>
    <t>COX7A2</t>
  </si>
  <si>
    <t>COX7AL|COX7AL1|COXVIIAL|COXVIIa-L|VIIAL</t>
  </si>
  <si>
    <t>COX7B</t>
  </si>
  <si>
    <t>APLCC|LSDMCA2</t>
  </si>
  <si>
    <t>DERM (XL);OMIM (XL;AR);OXPHOS (AR)</t>
  </si>
  <si>
    <t>COX7B2</t>
  </si>
  <si>
    <t>COX7C</t>
  </si>
  <si>
    <t>COX8A</t>
  </si>
  <si>
    <t>COX|COX8|COX8-2|COX8L|MC4DN15|VIII|VIII-L</t>
  </si>
  <si>
    <t>COX8C</t>
  </si>
  <si>
    <t>COX8-3</t>
  </si>
  <si>
    <t>CP</t>
  </si>
  <si>
    <t>CP-2</t>
  </si>
  <si>
    <t>BEWEGING (AR);IJZER (AR);METAB (AR);OMIM (AR);OXPHOS (AR);PCS (AR)</t>
  </si>
  <si>
    <t>CPA6</t>
  </si>
  <si>
    <t>CPAH|ETL5|FEB11</t>
  </si>
  <si>
    <t>EPI (AD);OMIM (AD,AR);PCS (AR)</t>
  </si>
  <si>
    <t>CPAMD8</t>
  </si>
  <si>
    <t>ASGD8|K-CAP|VIP</t>
  </si>
  <si>
    <t>CPLANE1</t>
  </si>
  <si>
    <t>C5orf42|Hug|JBTS17|OFD6</t>
  </si>
  <si>
    <t>BLIND (AR);CILIO (AR);LENGTE (AR);MR (AR);NIER (AR);OMIM (AR);PCS (AR);SCHISIS (AR)</t>
  </si>
  <si>
    <t>CPLX1</t>
  </si>
  <si>
    <t>CPX-I|CPX1|DEE63|EIEE63</t>
  </si>
  <si>
    <t>CPN1</t>
  </si>
  <si>
    <t>CPN|SCPN</t>
  </si>
  <si>
    <t>CPOX</t>
  </si>
  <si>
    <t>COX|CPO|CPX|HARPO|HCP</t>
  </si>
  <si>
    <t>DERM (AD,AR);METAB (AR);OMIM (AR;AD;AD,AR);PCS (AR)</t>
  </si>
  <si>
    <t>CPS1</t>
  </si>
  <si>
    <t>CPSASE1|PHN</t>
  </si>
  <si>
    <t>CPSF1</t>
  </si>
  <si>
    <t>CPSF160|HSU37012|MYP27|P/cl.18</t>
  </si>
  <si>
    <t>CPT1A</t>
  </si>
  <si>
    <t>CPT1|CPT1-L|L-CPT1</t>
  </si>
  <si>
    <t>HART (AR);METAB (AR);OMIM (AR);PCS (AR)</t>
  </si>
  <si>
    <t>CPT1C</t>
  </si>
  <si>
    <t>CATL1|CPT1-B|CPT1P|CPTI-B|CPTIC|SPG73</t>
  </si>
  <si>
    <t>CPT2</t>
  </si>
  <si>
    <t>CPT1|CPTASE|IIAE4</t>
  </si>
  <si>
    <t>EPI (AR);HART (AR);METAB (AR);OMIM (AR;AD,AR);PCS (AR);SPIER (AR)</t>
  </si>
  <si>
    <t>CR2</t>
  </si>
  <si>
    <t>C3DR|CD21|CR|CVID7|SLEB9</t>
  </si>
  <si>
    <t>CRADD</t>
  </si>
  <si>
    <t>MRT34|RAIDD</t>
  </si>
  <si>
    <t>CRAT</t>
  </si>
  <si>
    <t>CAT|CAT1|NBIA8</t>
  </si>
  <si>
    <t>METAB (AR);OMIM (AR);OXPHOS (AR);PCS (AR)</t>
  </si>
  <si>
    <t>CRB1</t>
  </si>
  <si>
    <t>CRB1-A|CRB1-B|CRB1-C|LCA8|RP12</t>
  </si>
  <si>
    <t>BLIND (AR);OMIM (AR;AD,AR);PCS (AR)</t>
  </si>
  <si>
    <t>CRB2</t>
  </si>
  <si>
    <t>FSGS9|VMCKD</t>
  </si>
  <si>
    <t>CRBN</t>
  </si>
  <si>
    <t>MRT2|MRT2A</t>
  </si>
  <si>
    <t>CREB1</t>
  </si>
  <si>
    <t>CREB|CREB-1</t>
  </si>
  <si>
    <t>CREB3L1</t>
  </si>
  <si>
    <t>OASIS|OI16</t>
  </si>
  <si>
    <t>LENGTE (AR);MELANOOM (AR);OMIM (AR);PCS (AR)</t>
  </si>
  <si>
    <t>CREBBP</t>
  </si>
  <si>
    <t>CBP|KAT3A|MKHK1|RSTS|RSTS1</t>
  </si>
  <si>
    <t>DSD (AD);IMMUUN (AD);LENGTE (AD);MR (AD);OMIM (AD);TUMOR (AD)</t>
  </si>
  <si>
    <t>CRELD1</t>
  </si>
  <si>
    <t>AVSD2|CIRRIN</t>
  </si>
  <si>
    <t>CRIPT</t>
  </si>
  <si>
    <t>HSPC139|SSMDF</t>
  </si>
  <si>
    <t>CRLF1</t>
  </si>
  <si>
    <t>CISS|CISS1|CLF|CLF-1|NR6|zcytor5</t>
  </si>
  <si>
    <t>CRP</t>
  </si>
  <si>
    <t>PTX1</t>
  </si>
  <si>
    <t>CRPPA</t>
  </si>
  <si>
    <t>ISPD|LGMDR20|MDDGA7|MDDGC7|Nip|hISPD</t>
  </si>
  <si>
    <t>AKI (AR);METAB (AR);MR (AR);OMIM (AR);PCS (AR);SPIER (AR)</t>
  </si>
  <si>
    <t>CRTAP</t>
  </si>
  <si>
    <t>CASP|LEPREL3|OI7|P3H5</t>
  </si>
  <si>
    <t>CRTC1</t>
  </si>
  <si>
    <t>MAML2|MECT1|Mam-2|TORC-1|TORC1|WAMTP1</t>
  </si>
  <si>
    <t>CRX</t>
  </si>
  <si>
    <t>CORD2|CRD|LCA7|OTX3</t>
  </si>
  <si>
    <t>CRYAA</t>
  </si>
  <si>
    <t>CRYA1|CTRCT9|HSPB4</t>
  </si>
  <si>
    <t>BLIND (AD);OMIM (AD;AD,AR);PCS (AR)</t>
  </si>
  <si>
    <t>CRYAB</t>
  </si>
  <si>
    <t>CMD1II|CRYA2|CTPP2|CTRCT16|HEL-S-101|HSPB5|MFM2</t>
  </si>
  <si>
    <t>BLIND (AD,AR);HART (AD);OMIM (AD,AR);PCS (AR);SPIER (AD)</t>
  </si>
  <si>
    <t>CRYBA1</t>
  </si>
  <si>
    <t>CRYB1|CTRCT10</t>
  </si>
  <si>
    <t>CRYBA2</t>
  </si>
  <si>
    <t>CTRCT42</t>
  </si>
  <si>
    <t>CRYBA4</t>
  </si>
  <si>
    <t>CTRCT23|CYRBA4|MCOPCT4</t>
  </si>
  <si>
    <t>CRYBB1</t>
  </si>
  <si>
    <t>CATCN3|CTRCT17</t>
  </si>
  <si>
    <t>CRYBB2</t>
  </si>
  <si>
    <t>CCA2|CRYB2|CRYB2A|CTRCT3|D22S665</t>
  </si>
  <si>
    <t>CRYBB3</t>
  </si>
  <si>
    <t>CATCN2|CRYB3|CTRCT22</t>
  </si>
  <si>
    <t>CRYGB</t>
  </si>
  <si>
    <t>CRYG2|CTRCT39</t>
  </si>
  <si>
    <t>CRYGC</t>
  </si>
  <si>
    <t>CCL|CRYG3|CTRCT2</t>
  </si>
  <si>
    <t>CRYGD</t>
  </si>
  <si>
    <t>CACA|CCA3|CCP|CRYG4|CTRCT4|PCC|cry-g-D</t>
  </si>
  <si>
    <t>CRYGS</t>
  </si>
  <si>
    <t>CRYG8|CTRCT20</t>
  </si>
  <si>
    <t>CRYL1</t>
  </si>
  <si>
    <t>GDH|HEL30|gul3DH|lambda-CRY</t>
  </si>
  <si>
    <t>CRYM</t>
  </si>
  <si>
    <t>DFNA40|THBP</t>
  </si>
  <si>
    <t>CSDE1</t>
  </si>
  <si>
    <t>D1S155E|UNR</t>
  </si>
  <si>
    <t>CSF1R</t>
  </si>
  <si>
    <t>BANDDOS|C-FMS|CD115|CSF-1R|CSFR|FIM2|FMS|HDLS|M-CSF-R</t>
  </si>
  <si>
    <t>BEWEGING (AD);LENGTE (AR);MR (AD,AR);OMIM (AR;AD,AR);PARK (AD);PCS (AR)</t>
  </si>
  <si>
    <t>CSF2RA</t>
  </si>
  <si>
    <t>CD116|CDw116|CSF2R|CSF2RAX|CSF2RAY|CSF2RX|CSF2RY|GM-CSF-R-alpha|GMCSFR|GMCSFR-alpha|GMR|GMR-alpha|SMDP4|alphaGMR</t>
  </si>
  <si>
    <t>IMMUUN (XLR);OMIM (XLR;UK,AR,AD,XL)</t>
  </si>
  <si>
    <t>CSF2RB</t>
  </si>
  <si>
    <t>CD131|CDw131|IL3RB|IL5RB|SMDP5|betaGMR</t>
  </si>
  <si>
    <t>CSF3R</t>
  </si>
  <si>
    <t>CD114|GCSFR|SCN7</t>
  </si>
  <si>
    <t>BMF (AD,AR);IMMUUN (AD,AR);OMIM (AR;AD,AR)</t>
  </si>
  <si>
    <t>CSGALNACT1</t>
  </si>
  <si>
    <t>CSGalNAcT-1|ChGn|ChGn-1|SDJLABA|beta4GalNAcT</t>
  </si>
  <si>
    <t>CSNK1D</t>
  </si>
  <si>
    <t>ASPS|CKI-delta|CKId|CKIdelta|FASPS2|HCKID</t>
  </si>
  <si>
    <t>CSNK2A1</t>
  </si>
  <si>
    <t>CK2A1|CKII|Cka1|Cka2|OCNDS</t>
  </si>
  <si>
    <t>CSNK2B</t>
  </si>
  <si>
    <t>CK2B|CK2N|CSK2B|Ckb1|Ckb2|G5A|POBINDS</t>
  </si>
  <si>
    <t>CSPP1</t>
  </si>
  <si>
    <t>CSPP|CSPP-L|JBTS21</t>
  </si>
  <si>
    <t>CSRP3</t>
  </si>
  <si>
    <t>CLP|CMD1M|CMH12|CRP3|LMO4|MLP</t>
  </si>
  <si>
    <t>HART (AD,AR);OMIM (AD;AD,AR)</t>
  </si>
  <si>
    <t>CST3</t>
  </si>
  <si>
    <t>ARMD11|HEL-S-2</t>
  </si>
  <si>
    <t>CST6</t>
  </si>
  <si>
    <t>ECTD15</t>
  </si>
  <si>
    <t>CSTA</t>
  </si>
  <si>
    <t>AREI|PSS4|STF1|STFA</t>
  </si>
  <si>
    <t>CSTB</t>
  </si>
  <si>
    <t>CPI-B|CST6|EPM1|EPM1A|PME|STFB|ULD</t>
  </si>
  <si>
    <t>BEWEGING (AD,AR);EPI (AR);MR (AR);OMIM (AR;AD,AR);PCS (AR)</t>
  </si>
  <si>
    <t>CTBP1</t>
  </si>
  <si>
    <t>BARS|HADDTS</t>
  </si>
  <si>
    <t>BEWEGING (AD);MR (AD);OMIM (AD);OXPHOS (AD)</t>
  </si>
  <si>
    <t>CTC1</t>
  </si>
  <si>
    <t>AAF-132|AAF132|C17orf68|CRMCC|tmp494178</t>
  </si>
  <si>
    <t>BMF (AR);DERM (AR);DKC (AR);IMMUUN (AR);MR (AR);OMIM (AR);PCS (AR);TUMOR (AR)</t>
  </si>
  <si>
    <t>CTCF</t>
  </si>
  <si>
    <t>CFAP108|FAP108|MRD21</t>
  </si>
  <si>
    <t>MR (AD);OMIM (AD);SCHISIS (AD)</t>
  </si>
  <si>
    <t>CTDP1</t>
  </si>
  <si>
    <t>CCFDN|FCP1</t>
  </si>
  <si>
    <t>BLIND (AR);HMSN (AR);MR (AR);OMIM (AR);PCS (AR)</t>
  </si>
  <si>
    <t>CTH</t>
  </si>
  <si>
    <t>CTHRC1</t>
  </si>
  <si>
    <t>CTLA4</t>
  </si>
  <si>
    <t>ALPS5|CD|CD152|CELIAC3|CTLA-4|GRD4|GSE|IDDM12</t>
  </si>
  <si>
    <t>BMF (AD);HEMOS (AD);IMMUUN (AD);OMIM (AD);TUMOR (AD)</t>
  </si>
  <si>
    <t>CTNNA1</t>
  </si>
  <si>
    <t>CAP102|MDPT2</t>
  </si>
  <si>
    <t>BLIND (AD);OMIM (AD);TUMOR (AD)</t>
  </si>
  <si>
    <t>CTNNA2</t>
  </si>
  <si>
    <t>CAP-R|CAPR|CDCBM9|CT114|CTNR</t>
  </si>
  <si>
    <t>CTNNA3</t>
  </si>
  <si>
    <t>ARVD13|VR22</t>
  </si>
  <si>
    <t>CTNNB1</t>
  </si>
  <si>
    <t>CTNNB|EVR7|MRD19|NEDSDV|armadillo</t>
  </si>
  <si>
    <t>BLIND (AD);MR (AD);OMIM (AD)</t>
  </si>
  <si>
    <t>CTNNBL1</t>
  </si>
  <si>
    <t>C20orf33|NAP|P14L|PP8304|dJ633O20.1</t>
  </si>
  <si>
    <t>CTNND1</t>
  </si>
  <si>
    <t>BCDS2|CAS|CTNND|P120CAS|P120CTN|p120|p120(CAS)|p120(CTN)</t>
  </si>
  <si>
    <t>OMIM (AD);SCHISIS (AD)</t>
  </si>
  <si>
    <t>CTNND2</t>
  </si>
  <si>
    <t>GT24|NPRAP</t>
  </si>
  <si>
    <t>CTNS</t>
  </si>
  <si>
    <t>CTNS-LSB|PQLC4|SLC66A4</t>
  </si>
  <si>
    <t>CTPS1</t>
  </si>
  <si>
    <t>CTPS|GATD5|IMD24</t>
  </si>
  <si>
    <t>CTR9</t>
  </si>
  <si>
    <t>SH2BP1|TSBP|p150|p150TSP</t>
  </si>
  <si>
    <t>CTSA</t>
  </si>
  <si>
    <t>GLB2|GSL|NGBE|PPCA|PPGB</t>
  </si>
  <si>
    <t>CTSB</t>
  </si>
  <si>
    <t>APPS|CPSB|RECEUP</t>
  </si>
  <si>
    <t>CTSC</t>
  </si>
  <si>
    <t>CPPI|DPP-I|DPP1|DPPI|HMS|JP|JPD|PALS|PDON1|PLS</t>
  </si>
  <si>
    <t>ANEURYSM (AD);DERM (AR);IMMUUN (AR);METAB (AR);OMIM (AR;AD);PCS (AR)</t>
  </si>
  <si>
    <t>CTSD</t>
  </si>
  <si>
    <t>CLN10|CPSD|HEL-S-130P</t>
  </si>
  <si>
    <t>CTSF</t>
  </si>
  <si>
    <t>CATSF|CLN13</t>
  </si>
  <si>
    <t>CTSH</t>
  </si>
  <si>
    <t>ACC-4|ACC-5|ACC4|ACC5|CPSB</t>
  </si>
  <si>
    <t>CTSK</t>
  </si>
  <si>
    <t>CTS02|CTSO|CTSO1|CTSO2|PKND|PYCD</t>
  </si>
  <si>
    <t>CFA (AR);LENGTE (AR);METAB (AR);OMIM (AR);PCS (AR)</t>
  </si>
  <si>
    <t>CTTNBP2</t>
  </si>
  <si>
    <t>C7orf8|CORTBP2|Orf4</t>
  </si>
  <si>
    <t>CTU2</t>
  </si>
  <si>
    <t>C16orf84|MFRG|NCS2|UPF0432</t>
  </si>
  <si>
    <t>CUBN</t>
  </si>
  <si>
    <t>IFCR|IGS|IGS1|MGA1|gp280</t>
  </si>
  <si>
    <t>CUL3</t>
  </si>
  <si>
    <t>CUL-3|PHA2E</t>
  </si>
  <si>
    <t>CUL4B</t>
  </si>
  <si>
    <t>CUL-4B|MRXHF2|MRXS15|MRXSC|SFM2</t>
  </si>
  <si>
    <t>CUL7</t>
  </si>
  <si>
    <t>3M1|CUL-7|KIAA0076|dJ20C7.5</t>
  </si>
  <si>
    <t>CUX1</t>
  </si>
  <si>
    <t>CASP|CDP|CDP/Cut|CDP1|COY1|CUTL1|CUX|Clox|Cux/CDP|GDDI|GOLIM6|Nbla10317|p100|p110|p200|p75</t>
  </si>
  <si>
    <t>CUX2</t>
  </si>
  <si>
    <t>CDP2|CUTL2|DEE67|EIEE67</t>
  </si>
  <si>
    <t>CWC27</t>
  </si>
  <si>
    <t>NY-CO-10|RPSKA|SDCCAG-10|SDCCAG10</t>
  </si>
  <si>
    <t>CWF19L1</t>
  </si>
  <si>
    <t>C19L1|SCAR17|hDrn1</t>
  </si>
  <si>
    <t>CXCL10</t>
  </si>
  <si>
    <t>C7|IFI10|INP10|IP-10|SCYB10|crg-2|gIP-10|mob-1</t>
  </si>
  <si>
    <t>CXCL13</t>
  </si>
  <si>
    <t>ANGIE|ANGIE2|BCA-1|BCA1|BLC|BLR1L|SCYB13</t>
  </si>
  <si>
    <t>CXCL2</t>
  </si>
  <si>
    <t>CINC-2a|GRO2|GROb|MGSA-b|MIP-2a|MIP2|MIP2A|SCYB2</t>
  </si>
  <si>
    <t>CXCR4</t>
  </si>
  <si>
    <t>CD184|D2S201E|FB22|HM89|HSY3RR|LAP-3|LAP3|LCR1|LESTR|NPY3R|NPYR|NPYRL|NPYY3R|WHIM|WHIMS</t>
  </si>
  <si>
    <t>BMF (AD);DERM (AD);IMMUUN (AD);OMIM (AD)</t>
  </si>
  <si>
    <t>CYB561</t>
  </si>
  <si>
    <t>CYB561A1|FRRS2|ORTHYP2</t>
  </si>
  <si>
    <t>CYB5A</t>
  </si>
  <si>
    <t>CYB5|MCB5|METAG</t>
  </si>
  <si>
    <t>CYB5R3</t>
  </si>
  <si>
    <t>B5R|DIA1</t>
  </si>
  <si>
    <t>CYBA</t>
  </si>
  <si>
    <t>CGD4|p22-PHOX</t>
  </si>
  <si>
    <t>CYBB</t>
  </si>
  <si>
    <t>AMCBX2|CGD|GP91-1|GP91-PHOX|GP91PHOX|IMD34|NOX2|p91-PHOX</t>
  </si>
  <si>
    <t>IMMUUN (XL);OMIM (XLR)</t>
  </si>
  <si>
    <t>CYBC1</t>
  </si>
  <si>
    <t>C17orf62|CGD5|Eros</t>
  </si>
  <si>
    <t>CYBRD1</t>
  </si>
  <si>
    <t>CYB561A2|DCYTB|FRRS3</t>
  </si>
  <si>
    <t>CYC1</t>
  </si>
  <si>
    <t>MC3DN6|UQCR4</t>
  </si>
  <si>
    <t>CYCS</t>
  </si>
  <si>
    <t>CYC|HCS|THC4</t>
  </si>
  <si>
    <t>HEMOS (AD);OMIM (AD);OXPHOS (AD)</t>
  </si>
  <si>
    <t>CYFIP2</t>
  </si>
  <si>
    <t>DEE65|EIEE65|PIR121</t>
  </si>
  <si>
    <t>CYLD</t>
  </si>
  <si>
    <t>BRSS|CDMT|CYLD1|CYLDI|EAC|FTDALS8|MFT|MFT1|SBS|TEM|USPL2</t>
  </si>
  <si>
    <t>CYP11A1</t>
  </si>
  <si>
    <t>CYP11A|CYPXIA1|P450SCC</t>
  </si>
  <si>
    <t>DSD (AR);METAB (AR);OMIM (AR;UK,AR,AD,XL);PCS (AR)</t>
  </si>
  <si>
    <t>CYP11B1</t>
  </si>
  <si>
    <t>CPN1|CYP11B|FHI|P450C11</t>
  </si>
  <si>
    <t>DSD (AR);METAB (AR);OMIM (AR;AD,AR);PCS (AR)</t>
  </si>
  <si>
    <t>CYP11B2</t>
  </si>
  <si>
    <t>ALDOS|CPN2|CYP11B|CYP11BL|CYPXIB2|P-450C18|P450C18|P450aldo</t>
  </si>
  <si>
    <t>DSD (AR);METAB (AR);OMIM (AR);PCS (AR)</t>
  </si>
  <si>
    <t>CYP17A1</t>
  </si>
  <si>
    <t>CPT7|CYP17|P450C17|S17AH</t>
  </si>
  <si>
    <t>CYP19A1</t>
  </si>
  <si>
    <t>ARO|ARO1|CPV1|CYAR|CYP19|CYPXIX|P-450AROM</t>
  </si>
  <si>
    <t>DSD (AR);METAB (AR);OMIM (AR;AD);PCS (AR)</t>
  </si>
  <si>
    <t>CYP1B1</t>
  </si>
  <si>
    <t>ASGD6|CP1B|CYPIB1|GLC3A|P4501B1</t>
  </si>
  <si>
    <t>CYP21A2</t>
  </si>
  <si>
    <t>CA21H|CAH1|CPS1|CYP21|CYP21B|P450c21B</t>
  </si>
  <si>
    <t>CYP24A1</t>
  </si>
  <si>
    <t>CP24|CYP24|HCAI|HCINF1|P450-CC24</t>
  </si>
  <si>
    <t>CYP26B1</t>
  </si>
  <si>
    <t>CYP26A2|P450RAI-2|P450RAI2|RHFCA</t>
  </si>
  <si>
    <t>CFA (AR);LENGTE (AR);OMIM (UK,AR,AD,XL);PCS (AR)</t>
  </si>
  <si>
    <t>CYP26C1</t>
  </si>
  <si>
    <t>FFDD4</t>
  </si>
  <si>
    <t>CYP27A1</t>
  </si>
  <si>
    <t>CP27|CTX|CYP27</t>
  </si>
  <si>
    <t>BEWEGING (AR);HMSN (AR);LEVER (AR);METAB (AR);MR (AR);OMIM (AR);PCS (AR)</t>
  </si>
  <si>
    <t>CYP27B1</t>
  </si>
  <si>
    <t>CP2B|CYP1|CYP1alpha|CYP27B|P450c1|PDDR|VDD1|VDDR|VDDRI|VDR</t>
  </si>
  <si>
    <t>CYP2A6</t>
  </si>
  <si>
    <t>CPA6|CYP2A|CYP2A3|CYPIIA6|P450C2A|P450PB</t>
  </si>
  <si>
    <t>CYP2B6</t>
  </si>
  <si>
    <t>CPB6|CYP2B|CYP2B7|CYP2B7P|CYPIIB6|EFVM|IIB1|P450</t>
  </si>
  <si>
    <t>CYP2C19</t>
  </si>
  <si>
    <t>CPCJ|CYP2C|CYPIIC17|CYPIIC19|P450C2C|P450IIC19</t>
  </si>
  <si>
    <t>CYP2C8</t>
  </si>
  <si>
    <t>CPC8|CYP2C8DM|CYPIIC8|MP-12/MP-20</t>
  </si>
  <si>
    <t>CYP2C9</t>
  </si>
  <si>
    <t>CPC9|CYP2C|CYP2C10|CYPIIC9|P450IIC9</t>
  </si>
  <si>
    <t>CYP2R1</t>
  </si>
  <si>
    <t>CYP2U1</t>
  </si>
  <si>
    <t>P450TEC|SPG49|SPG56</t>
  </si>
  <si>
    <t>CYP4F22</t>
  </si>
  <si>
    <t>ARCI5|INLNE|LI3</t>
  </si>
  <si>
    <t>CYP4V2</t>
  </si>
  <si>
    <t>BCD|CYP4AH1</t>
  </si>
  <si>
    <t>CYP7B1</t>
  </si>
  <si>
    <t>CBAS3|CP7B|SPG5A</t>
  </si>
  <si>
    <t>BEWEGING (AR);LEVER (AR);METAB (AR);OMIM (AR);PCS (AR)</t>
  </si>
  <si>
    <t>D2HGDH</t>
  </si>
  <si>
    <t>D2HGD</t>
  </si>
  <si>
    <t>DAB1</t>
  </si>
  <si>
    <t>SCA37</t>
  </si>
  <si>
    <t>DAB2IP</t>
  </si>
  <si>
    <t>AF9Q34|AIP-1|AIP1|DIP1/2</t>
  </si>
  <si>
    <t>DACT1</t>
  </si>
  <si>
    <t>DAPPER|DAPPER1|DPR1|FRODO|HDPR1|TBS2|THYEX3</t>
  </si>
  <si>
    <t>DAG1</t>
  </si>
  <si>
    <t>156DAG|A3a|AGRNR|DAG|LGMDR16|MDDGA9|MDDGC7|MDDGC9</t>
  </si>
  <si>
    <t>MR (AR);OMIM (AR);PCS (AR);SPIER (AR)</t>
  </si>
  <si>
    <t>DAO</t>
  </si>
  <si>
    <t>DAAO|DAMOX|OXDA</t>
  </si>
  <si>
    <t>DARS1</t>
  </si>
  <si>
    <t>DARS|HBSL|aspRS</t>
  </si>
  <si>
    <t>DARS2</t>
  </si>
  <si>
    <t>ASPRS|LBSL|MT-ASPRS|mtAspRS</t>
  </si>
  <si>
    <t>BEWEGING (AR);EPI (AR);MR (AR);OMIM (AR);OXPHOS (AR);PCS (AR);SPIER (AR)</t>
  </si>
  <si>
    <t>DBF4</t>
  </si>
  <si>
    <t>ASK|CHIF|DBF4A|ZDBF1</t>
  </si>
  <si>
    <t>BMF (AR);IMMUUN (AR);OMIM (AR)</t>
  </si>
  <si>
    <t>DBH</t>
  </si>
  <si>
    <t>DBM|ORTHYP1</t>
  </si>
  <si>
    <t>DBR1</t>
  </si>
  <si>
    <t>DBT</t>
  </si>
  <si>
    <t>BCATE2|BCKAD-E2|BCKADE2|BCKDH-E2|BCOADC-E2|E2|E2B</t>
  </si>
  <si>
    <t>DCAF17</t>
  </si>
  <si>
    <t>C20orf37|C2orf37</t>
  </si>
  <si>
    <t>BEWEGING (AR);DERM (AR);DOOF (AR);MR (AR);OMIM (AR);OXPHOS (AR);PCS (AR)</t>
  </si>
  <si>
    <t>DCAF8</t>
  </si>
  <si>
    <t>GAN2|H326|WDR42A</t>
  </si>
  <si>
    <t>DCC</t>
  </si>
  <si>
    <t>CRC18|CRCR1|HGPPS2|IGDCC1|MRMV1|NTN1R1</t>
  </si>
  <si>
    <t>BEWEGING (AD);DSD (AD);HH (AD);MR (AR);OMIM (AD;AR;AD,AR);PCS (AR)</t>
  </si>
  <si>
    <t>DCDC2</t>
  </si>
  <si>
    <t>DCDC2A|DFNB66|NPHP19|NSC|RU2|RU2S</t>
  </si>
  <si>
    <t>CILIO (AR);DOOF (AR);LEVER (AR);NIER (AR);OMIM (AR);PCS (AR)</t>
  </si>
  <si>
    <t>DCHS1</t>
  </si>
  <si>
    <t>CDH19|CDH25|CDHR6|FIB1|MVP2|PCDH16|VMLDS1</t>
  </si>
  <si>
    <t>HART (AD);MR (AR);OMIM (AD;AD,AR);PCS (AR)</t>
  </si>
  <si>
    <t>DCLRE1C</t>
  </si>
  <si>
    <t>A-SCID|DCLREC1C|RS-SCID|SCIDA|SNM1C</t>
  </si>
  <si>
    <t>DERM (AR);IMMUUN (AR);OMIM (AR);PCS (AR);SCID (AR)</t>
  </si>
  <si>
    <t>DCN</t>
  </si>
  <si>
    <t>CSCD|DSPG2|PG40|PGII|PGS2|SLRR1B</t>
  </si>
  <si>
    <t>DCPS</t>
  </si>
  <si>
    <t>ARS|DCS1|HINT-5|HINT5|HSL1|HSPC015</t>
  </si>
  <si>
    <t>DCTN1</t>
  </si>
  <si>
    <t>DAP-150|DP-150|P135</t>
  </si>
  <si>
    <t>BEWEGING (AD);HMSN (AD);OMIM (AD);PARK (AD)</t>
  </si>
  <si>
    <t>DCTN2</t>
  </si>
  <si>
    <t>DCTN50|DYNAMITIN|HEL-S-77|RBP50</t>
  </si>
  <si>
    <t>DCX</t>
  </si>
  <si>
    <t>DBCN|DC|LISX|SCLH|XLIS</t>
  </si>
  <si>
    <t>DCXR</t>
  </si>
  <si>
    <t>DCR|HCR2|HCRII|KIDCR|P34H|PNTSU|SDR20C1|XR</t>
  </si>
  <si>
    <t>DDB2</t>
  </si>
  <si>
    <t>DDBB|UV-DDB2|XPE</t>
  </si>
  <si>
    <t>DERM (AR);OMIM (AR);PCS (AR);TUMOR (AR)</t>
  </si>
  <si>
    <t>DDC</t>
  </si>
  <si>
    <t>AADC</t>
  </si>
  <si>
    <t>DDHD1</t>
  </si>
  <si>
    <t>PA-PLA1|PAPLA1|SPG28|iPLA1alpha</t>
  </si>
  <si>
    <t>BEWEGING (AR);BLIND (AR);METAB (AR);OMIM (AR);OXPHOS (AR);PCS (AR)</t>
  </si>
  <si>
    <t>DDHD2</t>
  </si>
  <si>
    <t>SAMWD1|SPG54|iPLA(1)gamma|iPLA1gamma</t>
  </si>
  <si>
    <t>DDOST</t>
  </si>
  <si>
    <t>AGER1|CDG1R|GATD6|OKSWcl45|OST|OST48|WBP1</t>
  </si>
  <si>
    <t>DDR2</t>
  </si>
  <si>
    <t>MIG20a|NTRKR3|TKT|TYRO10|WRCN</t>
  </si>
  <si>
    <t>LENGTE (AR);OMIM (AD,AR);PCS (AR)</t>
  </si>
  <si>
    <t>DDRGK1</t>
  </si>
  <si>
    <t>C20orf116|SEMDSH|UFBP1|dJ1187M17.3</t>
  </si>
  <si>
    <t>DDX11</t>
  </si>
  <si>
    <t>CHL1|CHLR1|KRG2|WABS</t>
  </si>
  <si>
    <t>MR (AR);OMIM (AR);PCS (AR);TUMOR (AR)</t>
  </si>
  <si>
    <t>DDX3X</t>
  </si>
  <si>
    <t>CAP-Rf|DBX|DDX14|DDX3|HLP2|MRX102|MRXSSB</t>
  </si>
  <si>
    <t>EPI (XL);MR (XL);OMIM (XLR);SCHISIS (XLR)</t>
  </si>
  <si>
    <t>DDX41</t>
  </si>
  <si>
    <t>ABS|MPLPF</t>
  </si>
  <si>
    <t>BMF (AD);OMIM (AD);TUMOR (AD)</t>
  </si>
  <si>
    <t>DDX58</t>
  </si>
  <si>
    <t>RIG-I|RIG1|RIGI|RLR-1|SGMRT2</t>
  </si>
  <si>
    <t>IMMUUN (AD);LENGTE (AR);OMIM (AD;AR)</t>
  </si>
  <si>
    <t>DDX59</t>
  </si>
  <si>
    <t>OFD5|ZNHIT5</t>
  </si>
  <si>
    <t>CILIO (AR);MR (AR);OMIM (AR);PCS (AR);SCHISIS (AR)</t>
  </si>
  <si>
    <t>DDX6</t>
  </si>
  <si>
    <t>HLR2|IDDILF|P54|RCK|Rck/p54</t>
  </si>
  <si>
    <t>DEAF1</t>
  </si>
  <si>
    <t>MRD24|NEDHELS|NUDR|SPN|VSVS|ZMYND5</t>
  </si>
  <si>
    <t>MR (AD);OMIM (AD,AR);PCS (AR)</t>
  </si>
  <si>
    <t>DEF6</t>
  </si>
  <si>
    <t>IBP|SLAT|SWAP70L</t>
  </si>
  <si>
    <t>DEGS1</t>
  </si>
  <si>
    <t>DEGS|DEGS-1|DES1|Des-1|FADS7|HLD18|MIG15|MLD</t>
  </si>
  <si>
    <t>DENND5A</t>
  </si>
  <si>
    <t>DEE49|EIEE49|RAB6IP1</t>
  </si>
  <si>
    <t>DEPDC5</t>
  </si>
  <si>
    <t>DEP.5|FFEVF|FFEVF1</t>
  </si>
  <si>
    <t>DES</t>
  </si>
  <si>
    <t>CDCD3|CSM1|CSM2|LGMD1D|LGMD1E|LGMD2R</t>
  </si>
  <si>
    <t>HART (AD,AR);OMIM (AR;AD,AR);OXPHOS (AR);PCS (AR);SPIER (AD)</t>
  </si>
  <si>
    <t>DGAT1</t>
  </si>
  <si>
    <t>ARAT|ARGP1|DGAT|DIAR7</t>
  </si>
  <si>
    <t>DGAT2</t>
  </si>
  <si>
    <t>ARAT|GS1999FULL|HMFN1045</t>
  </si>
  <si>
    <t>DGKE</t>
  </si>
  <si>
    <t>AHUS7|DAGK5|DAGK6|DGK|NPHS7</t>
  </si>
  <si>
    <t>HEMOS (AR);METAB (AR);NIER (AR);OMIM (AR);PCS (AR)</t>
  </si>
  <si>
    <t>DGUOK</t>
  </si>
  <si>
    <t>MTDPS3|NCPH|PEOB4|dGK</t>
  </si>
  <si>
    <t>LEVER (AR);METAB (AR);OMIM (AR);OXPHOS (AR);PCS (AR);SPIER (AR)</t>
  </si>
  <si>
    <t>DHCR24</t>
  </si>
  <si>
    <t>DCE|Nbla03646|SELADIN1|seladin-1</t>
  </si>
  <si>
    <t>AKI (AR);LENGTE (AR);METAB (AR);MR (AR);OMIM (AR);PCS (AR)</t>
  </si>
  <si>
    <t>DHCR7</t>
  </si>
  <si>
    <t>SLOS</t>
  </si>
  <si>
    <t>AKI (AR);DERM (AR);DSD (AR);LEVER (AR);METAB (AR);MR (AR);OMIM (AR);PCS (AR);SCHISIS (AR)</t>
  </si>
  <si>
    <t>DHDDS</t>
  </si>
  <si>
    <t>CIT|CPT|DEDSM|DS|HDS|RP59|hCIT</t>
  </si>
  <si>
    <t>BEWEGING (AD);BLIND (AR);EPI (AD);METAB (AR);MR (AD);OMIM (AR;AD;AD,AR);PCS (AR)</t>
  </si>
  <si>
    <t>DHFR</t>
  </si>
  <si>
    <t>DHFRP1|DYR</t>
  </si>
  <si>
    <t>BMF (AR);IMMUUN (AR);METAB (AR);MR (AR);OMIM (AR);PCS (AR)</t>
  </si>
  <si>
    <t>DHH</t>
  </si>
  <si>
    <t>GDMN|GDXYM|HHG-3|SRXY7</t>
  </si>
  <si>
    <t>DHODH</t>
  </si>
  <si>
    <t>DHOdehase|POADS|URA1</t>
  </si>
  <si>
    <t>DHPS</t>
  </si>
  <si>
    <t>DHS|DS|MIG13|NEDSSWI</t>
  </si>
  <si>
    <t>DHTKD1</t>
  </si>
  <si>
    <t>AMOXAD|CMT2Q</t>
  </si>
  <si>
    <t>HMSN (AD);MR (AD,AR);OMIM (AR;AD,AR);OXPHOS (AR);PCS (AR)</t>
  </si>
  <si>
    <t>DHX30</t>
  </si>
  <si>
    <t>DDX30|NEDMIAL|RETCOR</t>
  </si>
  <si>
    <t>DHX38</t>
  </si>
  <si>
    <t>DDX38|PRP16|PRPF16|RP84</t>
  </si>
  <si>
    <t>DIABLO</t>
  </si>
  <si>
    <t>DFNA64|SMAC</t>
  </si>
  <si>
    <t>DIAPH1</t>
  </si>
  <si>
    <t>DFNA1|DIA1|DRF1|LFHL1|SCBMS|hDIA1</t>
  </si>
  <si>
    <t>DOOF (AD);HEMOS (AD);IMMUUN (AD,AR);MR (AR);OMIM (AR;AD;AD,AR);PCS (AR)</t>
  </si>
  <si>
    <t>DIAPH2</t>
  </si>
  <si>
    <t>DIA|DIA2|DRF2|POF|POF2|POF2A</t>
  </si>
  <si>
    <t>DIAPH3</t>
  </si>
  <si>
    <t>AN|AUNA1|DIA2|DRF3|NSDAN|diap3|mDia2</t>
  </si>
  <si>
    <t>DICER1</t>
  </si>
  <si>
    <t>DCR1|Dicer|Dicer1e|GLOW|HERNA|K12H4.8-LIKE|MNG1|RMSE2</t>
  </si>
  <si>
    <t>DIP2B</t>
  </si>
  <si>
    <t>DIS3L2</t>
  </si>
  <si>
    <t>FAM6A|PRLMNS|hDIS3L2</t>
  </si>
  <si>
    <t>DISP1</t>
  </si>
  <si>
    <t>DISPA</t>
  </si>
  <si>
    <t>DKC1</t>
  </si>
  <si>
    <t>CBF5|DKC|DKCX|NAP57|NOLA4|XAP101</t>
  </si>
  <si>
    <t>BLIND (XL);BMF (XL);DERM (XL);DKC (XL);IMMUUN (XL);LEVER (XLR);MR (XL);OMIM (XLR);TUMOR (XL)</t>
  </si>
  <si>
    <t>DLAT</t>
  </si>
  <si>
    <t>DLTA|E2|PBC|PDC-E2|PDCE2</t>
  </si>
  <si>
    <t>BEWEGING (AR);EPI (AR);OMIM (AR);OXPHOS (AR);PCS (AR)</t>
  </si>
  <si>
    <t>DLC1</t>
  </si>
  <si>
    <t>ARHGAP7|HP|STARD12|p122-RhoGAP</t>
  </si>
  <si>
    <t>DLD</t>
  </si>
  <si>
    <t>DLDD|DLDH|E3|GCSL|LAD|OGDC-E3|PHE3</t>
  </si>
  <si>
    <t>BEWEGING (AR);METAB (AR);MR (AR);OMIM (AR);OXPHOS (AR);PCS (AR)</t>
  </si>
  <si>
    <t>DLG3</t>
  </si>
  <si>
    <t>MRX|MRX90|NEDLG|PPP1R82|SAP102|XLMR</t>
  </si>
  <si>
    <t>DLG4</t>
  </si>
  <si>
    <t>MRD62|PSD95|SAP-90|SAP90</t>
  </si>
  <si>
    <t>ANEURYSM (AD);MR (AD);OMIM (AD)</t>
  </si>
  <si>
    <t>DLL3</t>
  </si>
  <si>
    <t>SCDO1</t>
  </si>
  <si>
    <t>DLL4</t>
  </si>
  <si>
    <t>AOS6|delta4|hdelta2</t>
  </si>
  <si>
    <t>LENGTE (AD);OMIM (AD);SCHISIS (AD)</t>
  </si>
  <si>
    <t>DLST</t>
  </si>
  <si>
    <t>DLTS|KGD2|PGL7</t>
  </si>
  <si>
    <t>OMIM (AR;AD);OXPHOS (AR);TUMOR (AD)</t>
  </si>
  <si>
    <t>DLX3</t>
  </si>
  <si>
    <t>AI4|TDO</t>
  </si>
  <si>
    <t>CFA (AD);DERM (AD);LENGTE (AD);OMIM (AD)</t>
  </si>
  <si>
    <t>DLX4</t>
  </si>
  <si>
    <t>BP1|DLX7|DLX8|DLX9|OFC15</t>
  </si>
  <si>
    <t>DLX5</t>
  </si>
  <si>
    <t>SHFM1|SHFM1D</t>
  </si>
  <si>
    <t>DERM (AR);DOOF (AD,AR);LENGTE (AD);OMIM (AR;AD;AD,AR);PCS (AR)</t>
  </si>
  <si>
    <t>DLX6</t>
  </si>
  <si>
    <t>DMAC1</t>
  </si>
  <si>
    <t>C9orf123|TMEM261</t>
  </si>
  <si>
    <t>DMAC2</t>
  </si>
  <si>
    <t>ATP5SL</t>
  </si>
  <si>
    <t>DMAC2L</t>
  </si>
  <si>
    <t>ATP5S|ATPW|FB|HSU79253</t>
  </si>
  <si>
    <t>DMD</t>
  </si>
  <si>
    <t>BMD|CMD3B|DXS142|DXS164|DXS206|DXS230|DXS239|DXS268|DXS269|DXS270|DXS272|MRX85</t>
  </si>
  <si>
    <t>HART (XL);MR (XL);OMIM (XL);SPIER (XL)</t>
  </si>
  <si>
    <t>DMGDH</t>
  </si>
  <si>
    <t>DMGDHD|ME2GLYDH</t>
  </si>
  <si>
    <t>DMP1</t>
  </si>
  <si>
    <t>ARHP|ARHR|DMP-1</t>
  </si>
  <si>
    <t>LENGTE (AR);NIER (AR);OMIM (AR);PCS (AR)</t>
  </si>
  <si>
    <t>DMPK</t>
  </si>
  <si>
    <t>DM|DM1|DM1PK|DMK|MDPK|MT-PK</t>
  </si>
  <si>
    <t>DMRT1</t>
  </si>
  <si>
    <t>CT154|DMT1</t>
  </si>
  <si>
    <t>DMRT2</t>
  </si>
  <si>
    <t>DSXL-2</t>
  </si>
  <si>
    <t>DMXL2</t>
  </si>
  <si>
    <t>DEE81|DFNA71|EIEE81|PEPNS|RC3</t>
  </si>
  <si>
    <t>DOOF (AD);MR (AR);OMIM (AR;AD;AD,AR);PCS (AR)</t>
  </si>
  <si>
    <t>DNA2</t>
  </si>
  <si>
    <t>DNA2L|hDNA2</t>
  </si>
  <si>
    <t>LENGTE (AR);OMIM (AD;AD,AR);OXPHOS (AD);PCS (AR);SPIER (AD)</t>
  </si>
  <si>
    <t>DNAAF1</t>
  </si>
  <si>
    <t>CILD13|DAU1|LRRC50|ODA7|swt</t>
  </si>
  <si>
    <t>DNAAF11</t>
  </si>
  <si>
    <t>CILD19|LRRC6|LRTP|TSLRP|tilB</t>
  </si>
  <si>
    <t>LRRC6</t>
  </si>
  <si>
    <t>DNAAF2</t>
  </si>
  <si>
    <t>C14orf104|CILD10|KTU|PF13</t>
  </si>
  <si>
    <t>CILIO (AR);OMIM (UK,AR,AD,XL);PCS (AR)</t>
  </si>
  <si>
    <t>DNAAF3</t>
  </si>
  <si>
    <t>C19orf51|CILD2|DAB1|PCD|PF22</t>
  </si>
  <si>
    <t>DNAAF4</t>
  </si>
  <si>
    <t>CILD25|DYX1|DYX1C1|DYXC1|EKN1|RD</t>
  </si>
  <si>
    <t>DNAAF5</t>
  </si>
  <si>
    <t>CILD18|HEATR2</t>
  </si>
  <si>
    <t>DNAAF6</t>
  </si>
  <si>
    <t>CILD36|CXorf41|NYSAR97|PIH1D3|TWISTER</t>
  </si>
  <si>
    <t>PIH1D3</t>
  </si>
  <si>
    <t>CILIO (XL);OMIM (XLR)</t>
  </si>
  <si>
    <t>DNAH1</t>
  </si>
  <si>
    <t>CILD37|DNAHC1|HDHC7|HL-11|HL11|HSRF-1|SPGF18|XLHSRF-1</t>
  </si>
  <si>
    <t>DNAH10</t>
  </si>
  <si>
    <t>DNAH11</t>
  </si>
  <si>
    <t>CILD7|DNAHBL|DNAHC11|DNHBL|DPL11</t>
  </si>
  <si>
    <t>DNAH17</t>
  </si>
  <si>
    <t>DNAHL1|DNEL2|SPGF39</t>
  </si>
  <si>
    <t>DNAH5</t>
  </si>
  <si>
    <t>CILD3|DNAHC5|HL1|KTGNR|PCD</t>
  </si>
  <si>
    <t>DNAH8</t>
  </si>
  <si>
    <t>ATPase|SPGF46|hdhc9</t>
  </si>
  <si>
    <t>DNAH9</t>
  </si>
  <si>
    <t>CILD40|DNAH17L|DNEL1|DYH9|Dnahc9|HL-20|HL20</t>
  </si>
  <si>
    <t>DNAI1</t>
  </si>
  <si>
    <t>CILD1|DIC1|ICS1|PCD</t>
  </si>
  <si>
    <t>DNAI2</t>
  </si>
  <si>
    <t>CILD9|DIC2</t>
  </si>
  <si>
    <t>DNAJA3</t>
  </si>
  <si>
    <t>HCA57|TID1|hTID-1</t>
  </si>
  <si>
    <t>DNAJB11</t>
  </si>
  <si>
    <t>ABBP-2|ABBP2|DJ9|Dj-9|EDJ|ERdj3|ERj3|ERj3p|PKD6|PRO1080|UNQ537</t>
  </si>
  <si>
    <t>LEVER (AD);NIER (AD);OMIM (AD)</t>
  </si>
  <si>
    <t>DNAJB13</t>
  </si>
  <si>
    <t>CILD34|RSPH16A|TSARG5|TSARG6</t>
  </si>
  <si>
    <t>DNAJB2</t>
  </si>
  <si>
    <t>CMT2T|DSMA5|HSJ-1|HSJ1|HSPF3</t>
  </si>
  <si>
    <t>DNAJB5</t>
  </si>
  <si>
    <t>Hsc40</t>
  </si>
  <si>
    <t>DNAJB6</t>
  </si>
  <si>
    <t>DJ4|DnaJ|HHDJ1|HSJ-2|HSJ2|LGMD1D|LGMD1E|LGMDD1|MRJ|MSJ-1</t>
  </si>
  <si>
    <t>DNAJC12</t>
  </si>
  <si>
    <t>HPANBH4|JDP1</t>
  </si>
  <si>
    <t>DNAJC19</t>
  </si>
  <si>
    <t>PAM18|TIM14|TIMM14</t>
  </si>
  <si>
    <t>DNAJC21</t>
  </si>
  <si>
    <t>BMFS3|DNAJA5|GS3|JJJ1</t>
  </si>
  <si>
    <t>BMF (AR);LENGTE (AR);OMIM (AR);PCS (AR);TUMOR (AR)</t>
  </si>
  <si>
    <t>DNAJC3</t>
  </si>
  <si>
    <t>ACPHD|ERdj6|HP58|P58|P58IPK|PRKRI|p58(IPK)</t>
  </si>
  <si>
    <t>BEWEGING (AR);HMSN (AR);OMIM (AR);OXPHOS (AR);PCS (AR)</t>
  </si>
  <si>
    <t>DNAJC30</t>
  </si>
  <si>
    <t>WBSCR18</t>
  </si>
  <si>
    <t>BLIND (AR);OMIM (AR);OXPHOS (AR)</t>
  </si>
  <si>
    <t>DNAJC5</t>
  </si>
  <si>
    <t>CLN4|CLN4B|CSP|DNAJC5A|NCL|mir-941-2|mir-941-3|mir-941-4|mir-941-5</t>
  </si>
  <si>
    <t>DNAJC6</t>
  </si>
  <si>
    <t>DJC6|PARK19</t>
  </si>
  <si>
    <t>OMIM (AR);PARK (AR);PCS (AR)</t>
  </si>
  <si>
    <t>DNAL1</t>
  </si>
  <si>
    <t>C14orf168|CILD16|LC1</t>
  </si>
  <si>
    <t>DNAL4</t>
  </si>
  <si>
    <t>MRMV3|PIG27</t>
  </si>
  <si>
    <t>BEWEGING (AR);OMIM (AR)</t>
  </si>
  <si>
    <t>DNASE1</t>
  </si>
  <si>
    <t>DNL1|DRNI</t>
  </si>
  <si>
    <t>HEMOS (AD);IMMUUN (AD);OMIM (AD)</t>
  </si>
  <si>
    <t>DNASE1L3</t>
  </si>
  <si>
    <t>DHP2|DNAS1L3|LSD|SLEB16</t>
  </si>
  <si>
    <t>DNASE2</t>
  </si>
  <si>
    <t>DNASE2A|DNL|DNL2</t>
  </si>
  <si>
    <t>DNM1</t>
  </si>
  <si>
    <t>DEE31|DNM|EIEE31</t>
  </si>
  <si>
    <t>DNM1L</t>
  </si>
  <si>
    <t>DLP1|DRP1|DVLP|DYMPLE|EMPF|EMPF1|HDYNIV|OPA5</t>
  </si>
  <si>
    <t>BEWEGING (AD,AR);BLIND (AD);EPI (AD,AR);HMSN (AD);HNPD (AD,AR);METAB (AR);OMIM (AD,AR);OXPHOS (AR);PCS (AR)</t>
  </si>
  <si>
    <t>DNM2</t>
  </si>
  <si>
    <t>CMT2M|CMTDI1|CMTDIB|DI-CMTB|DYN2|DYNII|LCCS5</t>
  </si>
  <si>
    <t>AKI (AR);HMSN (AD);METAB (AD);OMIM (AD;AD,AR);PCS (AR);SPIER (AD)</t>
  </si>
  <si>
    <t>DNMBP</t>
  </si>
  <si>
    <t>ARHGEF36|CTRCT48|TUBA</t>
  </si>
  <si>
    <t>DNMT1</t>
  </si>
  <si>
    <t>ADCADN|AIM|CXXC9|DNMT|HSN1E|MCMT|m.HsaI</t>
  </si>
  <si>
    <t>BEWEGING (AD);HMSN (AD);HNPD (AD);METAB (AR);OMIM (AD;AR)</t>
  </si>
  <si>
    <t>DNMT3A</t>
  </si>
  <si>
    <t>DNMT3A2|HESJAS|M.HsaIIIA|TBRS</t>
  </si>
  <si>
    <t>DNMT3B</t>
  </si>
  <si>
    <t>ICF|ICF1|M.HsaIIIB</t>
  </si>
  <si>
    <t>IMMUUN (AR);METAB (AR);MR (AR);OMIM (AR);PCS (AR)</t>
  </si>
  <si>
    <t>DOCK2</t>
  </si>
  <si>
    <t>IMD40</t>
  </si>
  <si>
    <t>DOCK3</t>
  </si>
  <si>
    <t>MOCA|NEDIDHA|PBP</t>
  </si>
  <si>
    <t>DOCK6</t>
  </si>
  <si>
    <t>AOS2|ZIR1</t>
  </si>
  <si>
    <t>DERM (AR);LENGTE (AR);MR (AR);OMIM (AR);PCS (AR);SCHISIS (AR)</t>
  </si>
  <si>
    <t>DOCK7</t>
  </si>
  <si>
    <t>DEE23|EIEE23|ZIR2</t>
  </si>
  <si>
    <t>DOCK8</t>
  </si>
  <si>
    <t>HEL-205|MRD2|ZIR8</t>
  </si>
  <si>
    <t>DOK7</t>
  </si>
  <si>
    <t>C4orf25|CMS10|CMS1B|FADS3</t>
  </si>
  <si>
    <t>DOLK</t>
  </si>
  <si>
    <t>CDG1M|DK|DK1|SEC59|TMEM15</t>
  </si>
  <si>
    <t>DERM (AR);HART (AR);METAB (AR);MR (AR);OMIM (AR);PCS (AR)</t>
  </si>
  <si>
    <t>DONSON</t>
  </si>
  <si>
    <t>B17|C21orf60|MIMIS|MISSLA</t>
  </si>
  <si>
    <t>DOT1L</t>
  </si>
  <si>
    <t>DOT1|KMT4</t>
  </si>
  <si>
    <t>DPAGT1</t>
  </si>
  <si>
    <t>ALG7|CDG-Ij|CDG1J|CMS13|CMSTA2|D11S366|DGPT|DPAGT|DPAGT2|G1PT|GPT|UAGT|UGAT</t>
  </si>
  <si>
    <t>EPI (AR);METAB (AR);MR (AR);OMIM (AR);PCS (AR);SPIER (AR)</t>
  </si>
  <si>
    <t>DPCD</t>
  </si>
  <si>
    <t>DPF2</t>
  </si>
  <si>
    <t>CSS7|REQ|UBID4|ubi-d4</t>
  </si>
  <si>
    <t>DPH1</t>
  </si>
  <si>
    <t>DEDSSH|DPH2L|DPH2L1|OVCA1</t>
  </si>
  <si>
    <t>DPM1</t>
  </si>
  <si>
    <t>CDGIE|MPDS</t>
  </si>
  <si>
    <t>EPI (AR);LENGTE (AR);METAB (AR);MR (AR);OMIM (AR);PCS (AR);SPIER (AR)</t>
  </si>
  <si>
    <t>DPM2</t>
  </si>
  <si>
    <t>CDG1U</t>
  </si>
  <si>
    <t>EPI (AR);METAB (AR);OMIM (AR);PCS (AR);SPIER (AR)</t>
  </si>
  <si>
    <t>DPM3</t>
  </si>
  <si>
    <t>CDG1O|MDDGB15|MDDGC15</t>
  </si>
  <si>
    <t>DPP6</t>
  </si>
  <si>
    <t>DPL1|DPPX|MRD33|VF2</t>
  </si>
  <si>
    <t>HART (AD);MR (AD);OMIM (AD;UK,AR,AD,XL)</t>
  </si>
  <si>
    <t>DPY19L2</t>
  </si>
  <si>
    <t>SPATA34|SPGF9</t>
  </si>
  <si>
    <t>DPYD</t>
  </si>
  <si>
    <t>DHP|DHPDHASE|DPD</t>
  </si>
  <si>
    <t>DPYS</t>
  </si>
  <si>
    <t>DHP|DHPase</t>
  </si>
  <si>
    <t>DRAM2</t>
  </si>
  <si>
    <t>CORD21|PRO180|TMEM77|WWFQ154</t>
  </si>
  <si>
    <t>DRC1</t>
  </si>
  <si>
    <t>C2orf39|CCDC164|CILD21</t>
  </si>
  <si>
    <t>DRD4</t>
  </si>
  <si>
    <t>D4DR</t>
  </si>
  <si>
    <t>DRP2</t>
  </si>
  <si>
    <t>DRP-2</t>
  </si>
  <si>
    <t>HMSN (XL);OMIM (XL)</t>
  </si>
  <si>
    <t>DSC2</t>
  </si>
  <si>
    <t>ARVD11|CDHF2|DG2|DGII/III|DSC3</t>
  </si>
  <si>
    <t>DERM (AR);HART (AD,AR);OMIM (AD,AR);PCS (AR)</t>
  </si>
  <si>
    <t>DSC3</t>
  </si>
  <si>
    <t>CDHF3|DSC|DSC1|DSC2|DSC4|HT-CP</t>
  </si>
  <si>
    <t>DSE</t>
  </si>
  <si>
    <t>DS-epi1|DSEP|DSEPI|EDSMC2|SART-2|SART2</t>
  </si>
  <si>
    <t>DSG1</t>
  </si>
  <si>
    <t>CDHF4|DG1|DSG|EPKHE|EPKHIA|PPKS1|SPPK1</t>
  </si>
  <si>
    <t>DERM (AD);OMIM (AD,AR)</t>
  </si>
  <si>
    <t>DSG2</t>
  </si>
  <si>
    <t>CDHF5|HDGC</t>
  </si>
  <si>
    <t>DSG3</t>
  </si>
  <si>
    <t>ABOLM|CDHF6|PVA</t>
  </si>
  <si>
    <t>DSG4</t>
  </si>
  <si>
    <t>CDGF13|CDHF13|HYPT6|LAH</t>
  </si>
  <si>
    <t>DSP</t>
  </si>
  <si>
    <t>DCWHKTA|DP</t>
  </si>
  <si>
    <t>DERM (AD,AR);HART (AD,AR);OMIM (AD,AR);PCS (AR)</t>
  </si>
  <si>
    <t>DSPP</t>
  </si>
  <si>
    <t>DFNA39|DGI1|DMP3|DPP|DSP</t>
  </si>
  <si>
    <t>CFA (AD);DERM (AD);DOOF (AD);OMIM (AD)</t>
  </si>
  <si>
    <t>DST</t>
  </si>
  <si>
    <t>BP240|BPA|BPAG1|CATX-15|CATX15|D6S1101|DMH|DT|EBSB2|HSAN6|MACF2</t>
  </si>
  <si>
    <t>DERM (AR);HMSN (AR);OMIM (AR);PCS (AR)</t>
  </si>
  <si>
    <t>DSTYK</t>
  </si>
  <si>
    <t>CAKUT1|DustyPK|HDCMD38P|RIP5|RIPK5|SPG23</t>
  </si>
  <si>
    <t>NIER (AD);OMIM (AR;AD;AD,AR);PCS (AR)</t>
  </si>
  <si>
    <t>DTNA</t>
  </si>
  <si>
    <t>D18S892E|DRP3|DTN|DTN-A|LVNC1</t>
  </si>
  <si>
    <t>DTNBP1</t>
  </si>
  <si>
    <t>BLOC1S8|DBND|HPS7|My031|SDY</t>
  </si>
  <si>
    <t>DTYMK</t>
  </si>
  <si>
    <t>CDC8|PP3731|TMPK|TYMK</t>
  </si>
  <si>
    <t>DUOX2</t>
  </si>
  <si>
    <t>LNOX2|NOXEF2|P138-TOX|TDH6|THOX2</t>
  </si>
  <si>
    <t>DUOXA2</t>
  </si>
  <si>
    <t>SIMNIPHOM|TDH5</t>
  </si>
  <si>
    <t>DUSP6</t>
  </si>
  <si>
    <t>HH19|MKP3|PYST1</t>
  </si>
  <si>
    <t>DERM (AD);DSD (AD);HH (AD);OMIM (AD)</t>
  </si>
  <si>
    <t>DVL1</t>
  </si>
  <si>
    <t>DRS2|DVL|DVL1L1|DVL1P1</t>
  </si>
  <si>
    <t>DVL3</t>
  </si>
  <si>
    <t>DRS3</t>
  </si>
  <si>
    <t>DYM</t>
  </si>
  <si>
    <t>DMC|SMC</t>
  </si>
  <si>
    <t>DYNC1H1</t>
  </si>
  <si>
    <t>CMT2O|DHC1|DHC1a|DNCH1|DNCL|DNECL|DYHC|Dnchc1|HL-3|SMALED1|p22</t>
  </si>
  <si>
    <t>EPI (AD);HMSN (AD);HNPD (AD);MR (AD);OMIM (AD);SPIER (AD)</t>
  </si>
  <si>
    <t>DYNC1I2</t>
  </si>
  <si>
    <t>DIC74|DNCI2|IC2|NEDMIBA</t>
  </si>
  <si>
    <t>DYNC2H1</t>
  </si>
  <si>
    <t>ATD3|DHC1b|DHC2|DNCH2|DYH1B|SRPS2B|SRTD3|hdhc11</t>
  </si>
  <si>
    <t>ANEURYSM (AR);CILIO (AR);DSD (AR);LENGTE (AR);NIER (AR);OMIM (AR;UK,AR,AD,XL);PCS (AR);SCHISIS (AR)</t>
  </si>
  <si>
    <t>DYNC2I1</t>
  </si>
  <si>
    <t>CFAP163|DIC6|FAP163|SRPS6|SRTD8|WDR60</t>
  </si>
  <si>
    <t>WDR60</t>
  </si>
  <si>
    <t>CILIO (AR);DSD (AR);LENGTE (AR);NIER (AR);OMIM (AR);PCS (AR)</t>
  </si>
  <si>
    <t>DYNC2I2</t>
  </si>
  <si>
    <t>CFAP133|DIC5|FAP133|SRTD11|WDR34|bA216B9.3</t>
  </si>
  <si>
    <t>WDR34</t>
  </si>
  <si>
    <t>DYNC2LI1</t>
  </si>
  <si>
    <t>CGI-60|D2LIC|LIC3</t>
  </si>
  <si>
    <t>CILIO (AR);LENGTE (AR);OMIM (AR);PCS (AR);SCHISIS (AR)</t>
  </si>
  <si>
    <t>DYNLT2B</t>
  </si>
  <si>
    <t>SRTD17|TCTEX1D2</t>
  </si>
  <si>
    <t>TCTEX1D2</t>
  </si>
  <si>
    <t>CILIO (AR);LENGTE (AR);OMIM (AR);PCS (AR)</t>
  </si>
  <si>
    <t>DYRK1A</t>
  </si>
  <si>
    <t>DYRK|DYRK1|HP86|MNB|MNBH|MRD7</t>
  </si>
  <si>
    <t>DYRK1B</t>
  </si>
  <si>
    <t>AOMS3|MIRK</t>
  </si>
  <si>
    <t>DYSF</t>
  </si>
  <si>
    <t>FER1L1|LGMD2B|LGMDR2|MMD1</t>
  </si>
  <si>
    <t>DZIP1</t>
  </si>
  <si>
    <t>DZIP|DZIPt1|MVP3|SPGF47</t>
  </si>
  <si>
    <t>DZIP1L</t>
  </si>
  <si>
    <t>DZIP2|PKD5</t>
  </si>
  <si>
    <t>EARS2</t>
  </si>
  <si>
    <t>COXPD12|MSE1|gluRS|mtGlnRS</t>
  </si>
  <si>
    <t>EBF3</t>
  </si>
  <si>
    <t>COE3|EBF-3|HADDS|O/E-2|OE-2</t>
  </si>
  <si>
    <t>EBP</t>
  </si>
  <si>
    <t>CDPX2|CHO2|CPX|CPXD|MEND</t>
  </si>
  <si>
    <t>DERM (XL);EPI (XL);LENGTE (XL);METAB (XL);MR (XL);OMIM (XL);SCHISIS (XL)</t>
  </si>
  <si>
    <t>ECE1</t>
  </si>
  <si>
    <t>ECE</t>
  </si>
  <si>
    <t>ECEL1</t>
  </si>
  <si>
    <t>DA5D|DINE|ECEX|XCE</t>
  </si>
  <si>
    <t>AKI (AR);LENGTE (AR);OMIM (AR);PCS (AR);SPIER (AR)</t>
  </si>
  <si>
    <t>ECHS1</t>
  </si>
  <si>
    <t>ECHS1D|SCEH</t>
  </si>
  <si>
    <t>ECM1</t>
  </si>
  <si>
    <t>URBWD</t>
  </si>
  <si>
    <t>ECSIT</t>
  </si>
  <si>
    <t>SITPEC</t>
  </si>
  <si>
    <t>EDA</t>
  </si>
  <si>
    <t>ECTD1|ED1|ED1-A1|ED1-A2|EDA-A1|EDA-A2|EDA1|EDA2|HED|HED1|ODT1|STHAGX1|TNLG7C|XHED|XLHED</t>
  </si>
  <si>
    <t>EDAR</t>
  </si>
  <si>
    <t>DL|ECTD10A|ECTD10B|ED1R|ED3|ED5|EDA-A1R|EDA1R|EDA3|HRM1</t>
  </si>
  <si>
    <t>EDARADD</t>
  </si>
  <si>
    <t>ECTD11A|ECTD11B|ED3|EDA3</t>
  </si>
  <si>
    <t>CFA (AD,AR);DERM (AD,AR);OMIM (AD,AR);PCS (AR)</t>
  </si>
  <si>
    <t>EDC3</t>
  </si>
  <si>
    <t>LSM16|MRT50|YJDC|YJEFN2|hYjeF_N2-15q23</t>
  </si>
  <si>
    <t>MR (AD,AR);OMIM (AR;AD,AR);PCS (AR)</t>
  </si>
  <si>
    <t>EDN1</t>
  </si>
  <si>
    <t>ARCND3|ET1|HDLCQ7|PPET1|QME</t>
  </si>
  <si>
    <t>CFA (AR);LENGTE (AR);OMIM (AR;AD,AR);PCS (AR);SCHISIS (AR)</t>
  </si>
  <si>
    <t>EDN3</t>
  </si>
  <si>
    <t>ET-3|ET3|HSCR4|PPET3|WS4B</t>
  </si>
  <si>
    <t>DERM (AD,AR);DOOF (AD,AR);OMIM (AR;AD,AR);PCS (AR)</t>
  </si>
  <si>
    <t>EDNRA</t>
  </si>
  <si>
    <t>ET-A|ETA|ETA-R|ETAR|ETRA|MFDA|hET-AR</t>
  </si>
  <si>
    <t>ANEURYSM (AD);CFA (AD);DERM (AD);LENGTE (AD);OMIM (AD);SCHISIS (AD)</t>
  </si>
  <si>
    <t>EDNRB</t>
  </si>
  <si>
    <t>ABCDS|ET-B|ET-BR|ETB|ETB1|ETBR|ETRB|HSCR|HSCR2|WS4A</t>
  </si>
  <si>
    <t>DERM (AD,AR);DOOF (AD,AR);LEVER (AR);OMIM (AD,AR);PCS (AR)</t>
  </si>
  <si>
    <t>EED</t>
  </si>
  <si>
    <t>COGIS|HEED|WAIT1</t>
  </si>
  <si>
    <t>EEF1A2</t>
  </si>
  <si>
    <t>DEE33|EEF1AL|EF-1-alpha-2|EF1A|EIEE33|HS1|MRD38|STN|STNL</t>
  </si>
  <si>
    <t>EPI (AD);HART (AR);MR (AD);OMIM (AD;AR)</t>
  </si>
  <si>
    <t>EEF1AKNMT</t>
  </si>
  <si>
    <t>5630401D24Rik|CGI-01|DFNB26|DFNB26M|DFNM1|KIAA0859|METTL13|feat</t>
  </si>
  <si>
    <t>EEF2</t>
  </si>
  <si>
    <t>EEF-2|EF-2|EF2|SCA26</t>
  </si>
  <si>
    <t>EFEMP1</t>
  </si>
  <si>
    <t>DHRD|DRAD|FBLN3|FBNL|FIBL-3|MLVT|MTLV|S1-5</t>
  </si>
  <si>
    <t>EFEMP2</t>
  </si>
  <si>
    <t>ARCL1B|FBLN4|MBP1|UPH1</t>
  </si>
  <si>
    <t>ANEURYSM (AR);DERM (AR);HART (AR);OMIM (AR);PCS (AR)</t>
  </si>
  <si>
    <t>EFHC1</t>
  </si>
  <si>
    <t>EJM1|POC9|RIB72|dJ304B14.2</t>
  </si>
  <si>
    <t>EFL1</t>
  </si>
  <si>
    <t>EFTUD1|FAM42A|HsT19294|RIA1|SDS2</t>
  </si>
  <si>
    <t>BMF (AR);LENGTE (AR);OMIM (AR);PCS (AR)</t>
  </si>
  <si>
    <t>EFNA4</t>
  </si>
  <si>
    <t>EFL4|EPLG4|LERK4</t>
  </si>
  <si>
    <t>EFNB1</t>
  </si>
  <si>
    <t>CFND|CFNS|EFB1|EFL3|EPLG2|Elk-L|LERK2</t>
  </si>
  <si>
    <t>CFA (XL);DERM (XL);LENGTE (XL);OMIM (XL);SCHISIS (XL)</t>
  </si>
  <si>
    <t>EFNB2</t>
  </si>
  <si>
    <t>EPLG5|HTKL|Htk-L|LERK5</t>
  </si>
  <si>
    <t>DOOF (AR);MR (AD);OMIM (AD;AR)</t>
  </si>
  <si>
    <t>EFTUD2</t>
  </si>
  <si>
    <t>MFDGA|MFDM|SNRNP116|Snrp116|Snu114|U5-116KD</t>
  </si>
  <si>
    <t>CFA (AD);LENGTE (AD);MR (AD);OMIM (AD);SCHISIS (AD)</t>
  </si>
  <si>
    <t>EGF</t>
  </si>
  <si>
    <t>HOMG4|URG</t>
  </si>
  <si>
    <t>EPI (AR);NIER (AR);OMIM (AR;UK,AR,AD,XL);PCS (AR)</t>
  </si>
  <si>
    <t>EGFR</t>
  </si>
  <si>
    <t>ERBB|ERBB1|ERRP|HER1|NISBD2|PIG61|mENA</t>
  </si>
  <si>
    <t>OMIM (AR;UK,AR,AD,XL;AD,AR);PCS (AR);TUMOR (AD,AR)</t>
  </si>
  <si>
    <t>EGLN1</t>
  </si>
  <si>
    <t>C1orf12|ECYT3|HALAH|HIF-PH2|HIFPH2|HPH-2|HPH2|PHD2|SM20|ZMYND6</t>
  </si>
  <si>
    <t>EGLN2</t>
  </si>
  <si>
    <t>EIT-6|EIT6|HIF-PH1|HIFPH1|HPH-1|HPH-3|PHD1</t>
  </si>
  <si>
    <t>EGR2</t>
  </si>
  <si>
    <t>AT591|CHN1|CMT1D|CMT4E|KROX20</t>
  </si>
  <si>
    <t>AKI (AD,AR);HMSN (AD,AR);OMIM (AR;AD,AR);PCS (AR)</t>
  </si>
  <si>
    <t>EHHADH</t>
  </si>
  <si>
    <t>ECHD|FRTS3|L-PBE|LBFP|LBP|MFE1|PBFE</t>
  </si>
  <si>
    <t>NIER (AD);OMIM (AD);OXPHOS (AD)</t>
  </si>
  <si>
    <t>EHMT1</t>
  </si>
  <si>
    <t>EHMT1-IT1|EUHMTASE1|Eu-HMTase1|FP13812|GLP|GLP1|KLEFS1|KMT1D</t>
  </si>
  <si>
    <t>CHD (AD);EPI (AD);HART (AD);MR (AD);OMIM (AD)</t>
  </si>
  <si>
    <t>EIF2AK1</t>
  </si>
  <si>
    <t>HCR|HRI|LEMSPAD|hHRI</t>
  </si>
  <si>
    <t>EIF2AK2</t>
  </si>
  <si>
    <t>EIF2AK1|LEUDEN|PKR|PPP1R83|PRKR</t>
  </si>
  <si>
    <t>EIF2AK3</t>
  </si>
  <si>
    <t>PEK|PERK|WRS</t>
  </si>
  <si>
    <t>EIF2AK4</t>
  </si>
  <si>
    <t>GCN2|PVOD2</t>
  </si>
  <si>
    <t>EIF2B1</t>
  </si>
  <si>
    <t>EIF2B|EIF2BA</t>
  </si>
  <si>
    <t>BEWEGING (AR);EPI (AR);OMIM (AR);PCS (AR)</t>
  </si>
  <si>
    <t>EIF2B2</t>
  </si>
  <si>
    <t>EIF-2Bbeta|EIF2B</t>
  </si>
  <si>
    <t>EIF2B3</t>
  </si>
  <si>
    <t>EIF-2B|EIF2Bgamma</t>
  </si>
  <si>
    <t>EIF2B4</t>
  </si>
  <si>
    <t>EIF-2B|EIF2B|EIF2Bdelta</t>
  </si>
  <si>
    <t>EIF2B5</t>
  </si>
  <si>
    <t>CACH|CLE|EIF-2B|EIF2Bepsilon|LVWM</t>
  </si>
  <si>
    <t>BEWEGING (AR);DSD (AR);EPI (AR);MR (AR);OMIM (AR);PCS (AR)</t>
  </si>
  <si>
    <t>EIF2S3</t>
  </si>
  <si>
    <t>EIF2|EIF2G|EIF2gamma|MEHMO|MRXSBRK|eIF-2gA</t>
  </si>
  <si>
    <t>MR (XL);OMIM (XL;XLR);SCHISIS (XLR)</t>
  </si>
  <si>
    <t>EIF3F</t>
  </si>
  <si>
    <t>EIF3S5|MRT67|eIF3-p47</t>
  </si>
  <si>
    <t>EIF4A3</t>
  </si>
  <si>
    <t>DDX48|Fal1|MUK34|NMP265|NUK34|RCPS|eIF-4A-III|eIF4A-III|eIF4AIII</t>
  </si>
  <si>
    <t>CFA (AR);LENGTE (AR);MR (AR);OMIM (AR);PCS (AR);SCHISIS (AR)</t>
  </si>
  <si>
    <t>ELAC2</t>
  </si>
  <si>
    <t>COXPD17|ELC2|HPC2</t>
  </si>
  <si>
    <t>ELANE</t>
  </si>
  <si>
    <t>ELA2|GE|HLE|HNE|NE|PMN-E|SCN1</t>
  </si>
  <si>
    <t>BMF (AD);IMMUUN (AD);OMIM (AD);TUMOR (AD)</t>
  </si>
  <si>
    <t>ELF4</t>
  </si>
  <si>
    <t>ELFR|MEF</t>
  </si>
  <si>
    <t>IMMUUN (XL);OMIM (XL)</t>
  </si>
  <si>
    <t>ELMO2</t>
  </si>
  <si>
    <t>CED-12|CED12|Ced-12A|ELMO-2|VMPI</t>
  </si>
  <si>
    <t>ELMOD3</t>
  </si>
  <si>
    <t>DFNB88|LST3|RBED1|RBM29</t>
  </si>
  <si>
    <t>ELN</t>
  </si>
  <si>
    <t>ADCL1|SVAS|WBS|WS</t>
  </si>
  <si>
    <t>ANEURYSM (AD);CHD (AD);DERM (AD);HART (AD);OMIM (AD)</t>
  </si>
  <si>
    <t>ELOVL1</t>
  </si>
  <si>
    <t>CGI-88|IKSHD|Ssc1</t>
  </si>
  <si>
    <t>BLIND (AD);DERM (AD);METAB (AD);OMIM (AD)</t>
  </si>
  <si>
    <t>ELOVL4</t>
  </si>
  <si>
    <t>ADMD|CT118|ISQMR|SCA34|STGD2|STGD3</t>
  </si>
  <si>
    <t>BEWEGING (AD);BLIND (AD);DERM (AD,AR);METAB (AD);MR (AR);OMIM (AD,AR);PCS (AR)</t>
  </si>
  <si>
    <t>ELOVL5</t>
  </si>
  <si>
    <t>HELO1|SCA38|dJ483K16.1</t>
  </si>
  <si>
    <t>BEWEGING (AD);HMSN (AD);OMIM (AD)</t>
  </si>
  <si>
    <t>ELP1</t>
  </si>
  <si>
    <t>DYS|FD|IKAP|IKBKAP|IKI3|TOT1</t>
  </si>
  <si>
    <t>HMSN (AR);HNPD (AR);OMIM (AR;AD);PCS (AR);SHHM (AD);TUMOR (AD)</t>
  </si>
  <si>
    <t>ELP2</t>
  </si>
  <si>
    <t>MRT58|SHINC-2|STATIP1|StIP</t>
  </si>
  <si>
    <t>ELP4</t>
  </si>
  <si>
    <t>AN|AN2|C11orf19|PAX6NEB|PAXNEB|dJ68P15A.1|hELP4</t>
  </si>
  <si>
    <t>EMC1</t>
  </si>
  <si>
    <t>CAVIPMR|KIAA0090</t>
  </si>
  <si>
    <t>EMD</t>
  </si>
  <si>
    <t>EDMD|LEMD5|STA</t>
  </si>
  <si>
    <t>HART (XLR);OMIM (XLR);SPIER (XL)</t>
  </si>
  <si>
    <t>EMG1</t>
  </si>
  <si>
    <t>C2F|Grcc2f|NEP1</t>
  </si>
  <si>
    <t>EMILIN1</t>
  </si>
  <si>
    <t>EMI|EMILIN|gp115</t>
  </si>
  <si>
    <t>ANEURYSM (AD);HART (AD);HMSN (AD);OMIM (AD)</t>
  </si>
  <si>
    <t>EML1</t>
  </si>
  <si>
    <t>BH|ELP79|EMAP|EMAP-1|EMAPL</t>
  </si>
  <si>
    <t>EMP2</t>
  </si>
  <si>
    <t>XMP</t>
  </si>
  <si>
    <t>EMX2</t>
  </si>
  <si>
    <t>MR (AD);OMIM (UK,AR,AD,XL)</t>
  </si>
  <si>
    <t>ENAM</t>
  </si>
  <si>
    <t>ADAI|AI1C|AIH2</t>
  </si>
  <si>
    <t>CFA (AD,AR);DERM (AR);OMIM (AD,AR);PCS (AR)</t>
  </si>
  <si>
    <t>ENG</t>
  </si>
  <si>
    <t>END|HHT1|ORW1</t>
  </si>
  <si>
    <t>ENO3</t>
  </si>
  <si>
    <t>GSD13|MSE</t>
  </si>
  <si>
    <t>METAB (AR);OMIM (AR;AD);PCS (AR);SPIER (AD)</t>
  </si>
  <si>
    <t>ENPP1</t>
  </si>
  <si>
    <t>ARHR2|COLED|M6S1|NPP1|NPPS|PC-1|PCA1|PDNP1</t>
  </si>
  <si>
    <t>DERM (AR);HART (AR);LENGTE (AD,AR);NIER (AR);OMIM (AR;AD,AR);PCS (AR)</t>
  </si>
  <si>
    <t>ENTPD1</t>
  </si>
  <si>
    <t>ATPDase|CD39|NTPDase-1|SPG64</t>
  </si>
  <si>
    <t>EOGT</t>
  </si>
  <si>
    <t>AER61|AOS4|C3orf64|EOGT1</t>
  </si>
  <si>
    <t>LENGTE (AR);METAB (AR);OMIM (AR);PCS (AR);SCHISIS (AR)</t>
  </si>
  <si>
    <t>EP300</t>
  </si>
  <si>
    <t>KAT3B|MKHK2|RSTS2|p300</t>
  </si>
  <si>
    <t>ANEURYSM (AD);LENGTE (AD);MR (AD);OMIM (AD)</t>
  </si>
  <si>
    <t>EPAS1</t>
  </si>
  <si>
    <t>ECYT4|HIF2A|HLF|MOP2|PASD2|bHLHe73</t>
  </si>
  <si>
    <t>EPB41</t>
  </si>
  <si>
    <t>4.1R|EL1|HE</t>
  </si>
  <si>
    <t>EPB41L1</t>
  </si>
  <si>
    <t>4.1N|MRD11</t>
  </si>
  <si>
    <t>EPB42</t>
  </si>
  <si>
    <t>PA|SPH5</t>
  </si>
  <si>
    <t>EPCAM</t>
  </si>
  <si>
    <t>DIAR5|EGP-2|EGP314|EGP40|ESA|HNPCC8|KS1/4|KSA|M4S1|MIC18|MK-1|TACSTD1|TROP1</t>
  </si>
  <si>
    <t>OMIM (AR;AD);PCS (AR);TUMOR (AD)</t>
  </si>
  <si>
    <t>EPG5</t>
  </si>
  <si>
    <t>HEEW1|KIAA1632|VICIS</t>
  </si>
  <si>
    <t>BLIND (AR);DERM (AR);IMMUUN (AR);MR (AR);OMIM (AR);PCS (AR);SCHISIS (AR)</t>
  </si>
  <si>
    <t>EPHA2</t>
  </si>
  <si>
    <t>ARCC2|CTPA|CTPP1|CTRCT6|ECK</t>
  </si>
  <si>
    <t>EPHB2</t>
  </si>
  <si>
    <t>BDPLT22|CAPB|DRT|EK5|EPHT3|ERK|Hek5|PCBC|Tyro5</t>
  </si>
  <si>
    <t>EPHB4</t>
  </si>
  <si>
    <t>CMAVM2|HFASD|HTK|LMPHM7|MYK1|TYRO11</t>
  </si>
  <si>
    <t>EPHX1</t>
  </si>
  <si>
    <t>EPHX|EPOX|HYL1|MEH</t>
  </si>
  <si>
    <t>EPHX2</t>
  </si>
  <si>
    <t>ABHD20|CEH|SEH</t>
  </si>
  <si>
    <t>EPM2A</t>
  </si>
  <si>
    <t>EPM2|MELF</t>
  </si>
  <si>
    <t>EPO</t>
  </si>
  <si>
    <t>DBAL|ECYT5|EP|MVCD2</t>
  </si>
  <si>
    <t>BMF (AD,AR);OMIM (AD,AR);PCS (AR)</t>
  </si>
  <si>
    <t>EPRS1</t>
  </si>
  <si>
    <t>EARS|EPRS|GLUPRORS|HLD15|PARS|PIG32|QARS|QPRS</t>
  </si>
  <si>
    <t>EPS8</t>
  </si>
  <si>
    <t>DFNB102</t>
  </si>
  <si>
    <t>EPS8L2</t>
  </si>
  <si>
    <t>DFNB106|EPS8R2</t>
  </si>
  <si>
    <t>EPS8L3</t>
  </si>
  <si>
    <t>EPS8R3|HYPT5</t>
  </si>
  <si>
    <t>ERAL1</t>
  </si>
  <si>
    <t>CEGA|ERA|ERA-W|ERAL1A|ERAL1B|H-ERA|HERA-A|HERA-B|PRLTS6</t>
  </si>
  <si>
    <t>DOOF (AR);OMIM (AR);OXPHOS (AR);PCS (AR)</t>
  </si>
  <si>
    <t>ERBB2</t>
  </si>
  <si>
    <t>CD340|HER-2|HER-2/neu|HER2|MLN 19|NEU|NGL|TKR1</t>
  </si>
  <si>
    <t>ERBB3</t>
  </si>
  <si>
    <t>ErbB-3|FERLK|HER3|LCCS2|MDA-BF-1|c-erbB-3|c-erbB3|erbB3-S|p180-ErbB3|p45-sErbB3|p85-sErbB3</t>
  </si>
  <si>
    <t>ERBB4</t>
  </si>
  <si>
    <t>ALS19|HER4|p180erbB4</t>
  </si>
  <si>
    <t>ERCC1</t>
  </si>
  <si>
    <t>COFS4|RAD10|UV20</t>
  </si>
  <si>
    <t>ERCC2</t>
  </si>
  <si>
    <t>COFS2|EM9|TFIIH|TTD|TTD1|XPD</t>
  </si>
  <si>
    <t>BLIND (AR);DERM (AR);IMMUUN (AR);MR (AR);OMIM (AR);PCS (AR);TUMOR (AR)</t>
  </si>
  <si>
    <t>ERCC3</t>
  </si>
  <si>
    <t>BTF2|GTF2H|RAD25|TFIIH|TTD2|XPB</t>
  </si>
  <si>
    <t>DERM (AR);IMMUUN (AR);MELANOOM (AR);MR (AR);OMIM (AR);PCS (AR);TUMOR (AR)</t>
  </si>
  <si>
    <t>ERCC4</t>
  </si>
  <si>
    <t>ERCC11|FANCQ|RAD1|XFEPS|XPF</t>
  </si>
  <si>
    <t>BMF (AR);DERM (AR);OMIM (AR);PCS (AR);TUMOR (AR)</t>
  </si>
  <si>
    <t>ERCC5</t>
  </si>
  <si>
    <t>COFS3|ERCC5-201|ERCM2|UVDR|XPG|XPGC</t>
  </si>
  <si>
    <t>AKI (AR);DERM (AR);MR (AR);OMIM (AR);PCS (AR);TUMOR (AR)</t>
  </si>
  <si>
    <t>ERCC6</t>
  </si>
  <si>
    <t>ARMD5|CKN2|COFS|COFS1|CSB|CSB-PGBD3|POF11|RAD26|UVSS1</t>
  </si>
  <si>
    <t>AKI (AR);DERM (AD,AR);MR (AR);OMIM (AR;AD,AR);PCS (AR);TUMOR (AR)</t>
  </si>
  <si>
    <t>ERCC6L2</t>
  </si>
  <si>
    <t>BMFS2|C9orf102|HEBO|RAD26L|SR278</t>
  </si>
  <si>
    <t>BMF (AR);OMIM (AR);PCS (AR)</t>
  </si>
  <si>
    <t>ERCC8</t>
  </si>
  <si>
    <t>CKN1|CSA|UVSS2</t>
  </si>
  <si>
    <t>DERM (AR);MR (AR);OMIM (AR);PCS (AR)</t>
  </si>
  <si>
    <t>ERF</t>
  </si>
  <si>
    <t>CHYTS|CRS4|PE-2|PE2</t>
  </si>
  <si>
    <t>CFA (AD);LENGTE (AD);OMIM (AD)</t>
  </si>
  <si>
    <t>ERG</t>
  </si>
  <si>
    <t>erg-3|p55</t>
  </si>
  <si>
    <t>ERGIC1</t>
  </si>
  <si>
    <t>AMC2|AMCN|ERGIC-32|ERGIC32|NET24</t>
  </si>
  <si>
    <t>ERLIN1</t>
  </si>
  <si>
    <t>C10orf69|Erlin-1|KE04|KEO4|SPFH1|SPG62</t>
  </si>
  <si>
    <t>ERLIN2</t>
  </si>
  <si>
    <t>C8orf2|Erlin-2|NET32|SPFH2|SPG18</t>
  </si>
  <si>
    <t>ERMARD</t>
  </si>
  <si>
    <t>C6orf70|PVNH6|dJ266L20.3</t>
  </si>
  <si>
    <t>ESCO2</t>
  </si>
  <si>
    <t>2410004I17Rik|EFO2|EFO2p|RBS|hEFO2</t>
  </si>
  <si>
    <t>ESPN</t>
  </si>
  <si>
    <t>DFNB36|LP2654|USH1M</t>
  </si>
  <si>
    <t>DOOF (AD,AR);OMIM (AD,AR);PCS (AR)</t>
  </si>
  <si>
    <t>ESR1</t>
  </si>
  <si>
    <t>ER|ESR|ESRA|ESTRR|Era|NR3A1</t>
  </si>
  <si>
    <t>ESR2</t>
  </si>
  <si>
    <t>ER-BETA|ESR-BETA|ESRB|ESTRB|Erb|NR3A2|ODG8</t>
  </si>
  <si>
    <t>DSD (AD);OMIM (AD);TUMOR (AD)</t>
  </si>
  <si>
    <t>ESRP1</t>
  </si>
  <si>
    <t>DFNB109|RBM35A|RMB35A</t>
  </si>
  <si>
    <t>ESRRB</t>
  </si>
  <si>
    <t>DFNB35|ERR beta-2|ERR2|ERRb|ERRbeta2|ESRL2|NR3B2</t>
  </si>
  <si>
    <t>ETFA</t>
  </si>
  <si>
    <t>EMA|GA2|MADD</t>
  </si>
  <si>
    <t>ETFB</t>
  </si>
  <si>
    <t>FP585|MADD</t>
  </si>
  <si>
    <t>ETFDH</t>
  </si>
  <si>
    <t>ETFQO|MADD</t>
  </si>
  <si>
    <t>LEVER (AR);METAB (AR);OMIM (AR);OXPHOS (AR);PCS (AR)</t>
  </si>
  <si>
    <t>ETHE1</t>
  </si>
  <si>
    <t>HSCO|YF13H12</t>
  </si>
  <si>
    <t>ETV6</t>
  </si>
  <si>
    <t>TEL|TEL/ABL|THC5</t>
  </si>
  <si>
    <t>EVC</t>
  </si>
  <si>
    <t>DWF-1|EVC1|EVCL</t>
  </si>
  <si>
    <t>CILIO (AD,AR);DERM (AD,AR);LENGTE (AD,AR);OMIM (AD,AR);PCS (AR)</t>
  </si>
  <si>
    <t>EVC2</t>
  </si>
  <si>
    <t>LBN|WAD</t>
  </si>
  <si>
    <t>CILIO (AR);DERM (AR);LENGTE (AD,AR);OMIM (AD,AR);PCS (AR)</t>
  </si>
  <si>
    <t>EWSR1</t>
  </si>
  <si>
    <t>EWS|EWS-FLI1|bK984G1.4</t>
  </si>
  <si>
    <t>EXOC6</t>
  </si>
  <si>
    <t>EXOC6A|SEC15|SEC15L|SEC15L1|SEC15L3|Sec15p</t>
  </si>
  <si>
    <t>EXOC6B</t>
  </si>
  <si>
    <t>SEC15B|SEC15L2|SEMDJL3</t>
  </si>
  <si>
    <t>EXOC8</t>
  </si>
  <si>
    <t>EXO84|Exo84p|NEDMISB|SEC84</t>
  </si>
  <si>
    <t>EXOSC2</t>
  </si>
  <si>
    <t>RRP4|Rrp4p|SHRF|hRrp4p|p7</t>
  </si>
  <si>
    <t>BLIND (AR);DOOF (AR);MR (AR);OMIM (AR);PCS (AR)</t>
  </si>
  <si>
    <t>EXOSC3</t>
  </si>
  <si>
    <t>CGI-102|PCH1B|RRP40|Rrp40p|bA3J10.7|hRrp-40|p10</t>
  </si>
  <si>
    <t>EXOSC5</t>
  </si>
  <si>
    <t>RRP41B|RRP46|Rrp46p|hRrp46p|p12B</t>
  </si>
  <si>
    <t>BEWEGING (AR);LENGTE (AR);OMIM (AR)</t>
  </si>
  <si>
    <t>EXOSC8</t>
  </si>
  <si>
    <t>CIP3|EAP2|OIP2|PCH1C|RRP43|Rrp43p|bA421P11.3|p9</t>
  </si>
  <si>
    <t>BEWEGING (AR);HMSN (AR);OMIM (AR);PCS (AR);SPIER (AR)</t>
  </si>
  <si>
    <t>EXOSC9</t>
  </si>
  <si>
    <t>PCH1D|PM/Scl-75|PMSCL1|RRP45|Rrp45p|p5|p6</t>
  </si>
  <si>
    <t>EXPH5</t>
  </si>
  <si>
    <t>SLAC2-B|SLAC2B</t>
  </si>
  <si>
    <t>EXT1</t>
  </si>
  <si>
    <t>EXT|LGCR|LGS|TRPS2|TTV</t>
  </si>
  <si>
    <t>LENGTE (AD);METAB (AR);OMIM (AR;AD;AD,AR);TUMOR (AD)</t>
  </si>
  <si>
    <t>EXT2</t>
  </si>
  <si>
    <t>SOTV|SSMS</t>
  </si>
  <si>
    <t>LENGTE (AD);METAB (AR);OMIM (AD,AR);PCS (AR);TUMOR (AD)</t>
  </si>
  <si>
    <t>EXTL3</t>
  </si>
  <si>
    <t>BOTV|EXTL1L|EXTR1|ISDNA|REGR|RPR</t>
  </si>
  <si>
    <t>CILIO (AR);IMMUUN (AR);LENGTE (AR);MR (AR);OMIM (AR);PCS (AR)</t>
  </si>
  <si>
    <t>EYA1</t>
  </si>
  <si>
    <t>BOP|BOR|BOS1|OFC1</t>
  </si>
  <si>
    <t>BLIND (AD);CFA (AD);DOOF (AD);METAB (AD);NIER (AD);OMIM (AD);SCHISIS (AD)</t>
  </si>
  <si>
    <t>EYA4</t>
  </si>
  <si>
    <t>CMD1J|DFNA10</t>
  </si>
  <si>
    <t>EYS</t>
  </si>
  <si>
    <t>C6orf178|C6orf179|C6orf180|EGFL10|EGFL11|RP25|SPAM|bA166P24.2|bA307F22.3|bA74E24.1|dJ1018A4.2|dJ22I17.2|dJ303F19.1</t>
  </si>
  <si>
    <t>EZH2</t>
  </si>
  <si>
    <t>ENX-1|ENX1|EZH2b|KMT6|KMT6A|WVS|WVS2</t>
  </si>
  <si>
    <t>BMF (AD);CFA (AD);LENGTE (AD);MR (AD);OMIM (AD);TUMOR (AD)</t>
  </si>
  <si>
    <t>F10</t>
  </si>
  <si>
    <t>FX|FXA</t>
  </si>
  <si>
    <t>F11</t>
  </si>
  <si>
    <t>FXI|PTA</t>
  </si>
  <si>
    <t>HEMOS (AD,AR);OMIM (AR;UK,AR,AD,XL;AD,AR);PCS (AR)</t>
  </si>
  <si>
    <t>F12</t>
  </si>
  <si>
    <t>HAE3|HAEX|HAF</t>
  </si>
  <si>
    <t>HEMOS (AR);IMMUUN (AD);OMIM (AD,AR);PCS (AR)</t>
  </si>
  <si>
    <t>F13A1</t>
  </si>
  <si>
    <t>F13A</t>
  </si>
  <si>
    <t>DERM (AD);HEMOS (AD,AR);OMIM (AR;AD,AR);PCS (AR)</t>
  </si>
  <si>
    <t>F13B</t>
  </si>
  <si>
    <t>FXIIIB</t>
  </si>
  <si>
    <t>F2</t>
  </si>
  <si>
    <t>PT|RPRGL2|THPH1</t>
  </si>
  <si>
    <t>HEMOS (AD,AR);OMIM (AD,AR);PCS (AR)</t>
  </si>
  <si>
    <t>F2RL3</t>
  </si>
  <si>
    <t>PAR4</t>
  </si>
  <si>
    <t>F5</t>
  </si>
  <si>
    <t>FVL|PCCF|RPRGL1|THPH2</t>
  </si>
  <si>
    <t>HEMOS (AD,AR);OMIM (AR;AD,AR);PCS (AR)</t>
  </si>
  <si>
    <t>F7</t>
  </si>
  <si>
    <t>SPCA</t>
  </si>
  <si>
    <t>F8</t>
  </si>
  <si>
    <t>AHF|DXS1253E|F8B|F8C|FVIII|HEMA</t>
  </si>
  <si>
    <t>HEMOS (XL);OMIM (XLR)</t>
  </si>
  <si>
    <t>F9</t>
  </si>
  <si>
    <t>F9 p22|FIX|HEMB|P19|PTC|THPH8</t>
  </si>
  <si>
    <t>FA2H</t>
  </si>
  <si>
    <t>FAAH|FAH1|FAXDC1|SCS7|SPG35</t>
  </si>
  <si>
    <t>BEWEGING (AR);BLIND (AR);EPI (AR);METAB (AR);MR (AR);OMIM (AR);OXPHOS (AR);PCS (AR)</t>
  </si>
  <si>
    <t>FAAH</t>
  </si>
  <si>
    <t>FAAH-1|PSAB</t>
  </si>
  <si>
    <t>FAAP24</t>
  </si>
  <si>
    <t>C19orf40</t>
  </si>
  <si>
    <t>FADD</t>
  </si>
  <si>
    <t>GIG3|MORT1</t>
  </si>
  <si>
    <t>FAH</t>
  </si>
  <si>
    <t>HART (AR);LEVER (AR);METAB (AR);NIER (AR);OMIM (AR);PCS (AR)</t>
  </si>
  <si>
    <t>FAM111A</t>
  </si>
  <si>
    <t>GCLEB|KCS2</t>
  </si>
  <si>
    <t>FAM111B</t>
  </si>
  <si>
    <t>CANP|POIKTMP</t>
  </si>
  <si>
    <t>DERM (AD);OMIM (AD);SPIER (AD)</t>
  </si>
  <si>
    <t>FAM126A</t>
  </si>
  <si>
    <t>DRCTNNB1A|HCC|HLD5|HYCC1</t>
  </si>
  <si>
    <t>FAM149B1</t>
  </si>
  <si>
    <t>JBTS36|KIAA0974</t>
  </si>
  <si>
    <t>CILIO (AR);MR (AR);OMIM (AR)</t>
  </si>
  <si>
    <t>FAM161A</t>
  </si>
  <si>
    <t>RP28</t>
  </si>
  <si>
    <t>FAM20A</t>
  </si>
  <si>
    <t>AI1G|AIGFS|FP2747</t>
  </si>
  <si>
    <t>CFA (AR);DERM (AR);NIER (AR);OMIM (AR);PCS (AR)</t>
  </si>
  <si>
    <t>FAM20B</t>
  </si>
  <si>
    <t>gxk1</t>
  </si>
  <si>
    <t>FAM20C</t>
  </si>
  <si>
    <t>DMP-4|DMP4|G-CK|GEF-CK|RNS</t>
  </si>
  <si>
    <t>FAM83G</t>
  </si>
  <si>
    <t>PAWS1</t>
  </si>
  <si>
    <t>FAM83H</t>
  </si>
  <si>
    <t>AI3|AI3A</t>
  </si>
  <si>
    <t>CFA (AR);DERM (AD);OMIM (AD;AR)</t>
  </si>
  <si>
    <t>FAN1</t>
  </si>
  <si>
    <t>KIAA1018|KMIN|MTMR15|hFAN1</t>
  </si>
  <si>
    <t>NIER (AR);OMIM (AD;AR);PCS (AR);TUMOR (AD)</t>
  </si>
  <si>
    <t>FANCA</t>
  </si>
  <si>
    <t>FA|FA-H|FA1|FAA|FACA|FAH|FANCH</t>
  </si>
  <si>
    <t>FANCB</t>
  </si>
  <si>
    <t>FA2|FAAP90|FAAP95|FAB|FACB</t>
  </si>
  <si>
    <t>BMF (XL);DERM (AR);OMIM (AR;XL;XLR);PCS (AR);TUMOR (AR)</t>
  </si>
  <si>
    <t>FANCC</t>
  </si>
  <si>
    <t>FA3|FAC|FACC</t>
  </si>
  <si>
    <t>FANCD2</t>
  </si>
  <si>
    <t>FA-D2|FA4|FACD|FAD|FAD2|FANCD</t>
  </si>
  <si>
    <t>FANCE</t>
  </si>
  <si>
    <t>FACE|FAE</t>
  </si>
  <si>
    <t>FANCF</t>
  </si>
  <si>
    <t>FAF</t>
  </si>
  <si>
    <t>BMF (AR);DERM (AR);OMIM (AR;UK,AR,AD,XL);PCS (AR);TUMOR (AR)</t>
  </si>
  <si>
    <t>FANCG</t>
  </si>
  <si>
    <t>FAG|XRCC9</t>
  </si>
  <si>
    <t>FANCI</t>
  </si>
  <si>
    <t>KIAA1794</t>
  </si>
  <si>
    <t>FANCL</t>
  </si>
  <si>
    <t>FAAP43|PHF9|POG</t>
  </si>
  <si>
    <t>FANCM</t>
  </si>
  <si>
    <t>FAAP250|KIAA1596|POF15|SPGF28</t>
  </si>
  <si>
    <t>BMF (AR);DERM (AR);OMIM (AR);TUMOR (AR)</t>
  </si>
  <si>
    <t>FAR1</t>
  </si>
  <si>
    <t>MLSTD2|PFCRD|SDR10E1</t>
  </si>
  <si>
    <t>BEWEGING (AR);LENGTE (AR);METAB (AR);MR (AR);OMIM (AR);PCS (AR)</t>
  </si>
  <si>
    <t>FARS2</t>
  </si>
  <si>
    <t>COXPD14|FARS1|HSPC320|PheRS|SPG77|mtPheRS</t>
  </si>
  <si>
    <t>BEWEGING (AR);EPI (AR);MR (AR);OMIM (AR);OXPHOS (AR);PCS (AR)</t>
  </si>
  <si>
    <t>FARSB</t>
  </si>
  <si>
    <t>FARSLB|FRSB|HSPC173|NEDBLLA|PheHB|PheRS|RILDBC|RILDBC1</t>
  </si>
  <si>
    <t>FAS</t>
  </si>
  <si>
    <t>ALPS1A|APO-1|APT1|CD95|FAS1|FASTM|TNFRSF6</t>
  </si>
  <si>
    <t>FASLG</t>
  </si>
  <si>
    <t>ALPS1B|APT1LG1|APTL|CD178|CD95-L|CD95L|FASL|TNFSF6|TNLG1A</t>
  </si>
  <si>
    <t>BMF (AD);IMMUUN (AD,AR);OMIM (AD;AD,AR);TUMOR (AD)</t>
  </si>
  <si>
    <t>FASTKD2</t>
  </si>
  <si>
    <t>COXPD44|KIAA0971</t>
  </si>
  <si>
    <t>FAT1</t>
  </si>
  <si>
    <t>CDHF7|CDHR8|FAT|ME5|hFat1</t>
  </si>
  <si>
    <t>FAT2</t>
  </si>
  <si>
    <t>CDHF8|CDHR9|HFAT2|MEGF1|SCA45</t>
  </si>
  <si>
    <t>FAT4</t>
  </si>
  <si>
    <t>CDHF14|CDHR11|FAT-J|FATJ|HKLLS2|NBLA00548|VMLDS2</t>
  </si>
  <si>
    <t>DERM (AR);IMMUUN (AR);MR (AR);OMIM (AR);PCS (AR)</t>
  </si>
  <si>
    <t>FBLN1</t>
  </si>
  <si>
    <t>FBLN|FIBL1</t>
  </si>
  <si>
    <t>FBLN5</t>
  </si>
  <si>
    <t>ADCL2|ARCL1A|ARMD3|DANCE|EVEC|FIBL-5|HNARMD|UP50</t>
  </si>
  <si>
    <t>DERM (AD,AR);HMSN (AD,AR);HNPD (AD);OMIM (AD,AR);PCS (AR)</t>
  </si>
  <si>
    <t>FBN1</t>
  </si>
  <si>
    <t>ACMICD|ECTOL1|FBN|GPHYSD2|MASS|MFLS|MFS1|OCTD|SGS|SSKS|WMS|WMS2</t>
  </si>
  <si>
    <t>ANEURYSM (AD);BLIND (AD);CHD (AD);HART (AD);HEMOS (AD);LENGTE (AD);OMIM (AD)</t>
  </si>
  <si>
    <t>FBN2</t>
  </si>
  <si>
    <t>CCA|DA9|EOMD</t>
  </si>
  <si>
    <t>AKI (AD);ANEURYSM (AD);HART (AD);LENGTE (AD);OMIM (AD)</t>
  </si>
  <si>
    <t>FBP1</t>
  </si>
  <si>
    <t>FBP</t>
  </si>
  <si>
    <t>FBXL3</t>
  </si>
  <si>
    <t>FBL3|FBL3A|FBXL3A|IDDSFAS</t>
  </si>
  <si>
    <t>FBXL4</t>
  </si>
  <si>
    <t>FBL4|FBL5|MTDPS13</t>
  </si>
  <si>
    <t>FBXO11</t>
  </si>
  <si>
    <t>FBX11|IDDFBA|PRMT9|UBR6|UG063H01|VIT1</t>
  </si>
  <si>
    <t>FBXO31</t>
  </si>
  <si>
    <t>FBX14|FBXO14|Fbx31|MRT45|pp2386</t>
  </si>
  <si>
    <t>FBXO32</t>
  </si>
  <si>
    <t>Fbx32|MAFbx</t>
  </si>
  <si>
    <t>FBXO38</t>
  </si>
  <si>
    <t>Fbx38|HMN2D|MOKA|SP329</t>
  </si>
  <si>
    <t>FBXO7</t>
  </si>
  <si>
    <t>FBX|FBX07|FBX7|PARK15|PKPS</t>
  </si>
  <si>
    <t>BEWEGING (AR);OMIM (AR);PARK (AR);PCS (AR)</t>
  </si>
  <si>
    <t>FBXW4</t>
  </si>
  <si>
    <t>DAC|FBW4|FBWD4|SHFM3|SHSF3</t>
  </si>
  <si>
    <t>FBXW7</t>
  </si>
  <si>
    <t>AGO|CDC4|FBW6|FBW7|FBX30|FBXO30|FBXW6|SEL-10|SEL10|hAgo|hCdc4</t>
  </si>
  <si>
    <t>FCGR1A</t>
  </si>
  <si>
    <t>CD64|CD64A|FCRI|IGFR1</t>
  </si>
  <si>
    <t>FCGR2A</t>
  </si>
  <si>
    <t>CD32|CD32A|CDw32|FCG2|FCGR2|FCGR2A1|FcGR|IGFR2</t>
  </si>
  <si>
    <t>HEMOS (AD);IMMUUN (AD,AR);OMIM (AD;AD,AR)</t>
  </si>
  <si>
    <t>FCGR2B</t>
  </si>
  <si>
    <t>CD32|CD32B|FCG2|FCGR2|FCGR2C|FcRII-c|IGFR2</t>
  </si>
  <si>
    <t>FCGR2C</t>
  </si>
  <si>
    <t>CD32|CD32C|CDW32|FCG2|FCRIIC|IGFR2</t>
  </si>
  <si>
    <t>FCGR3A</t>
  </si>
  <si>
    <t>CD16|CD16A|FCG3|FCGR3|FCGRIII|FCR-10|FCRIII|FCRIIIA|IGFR3|IMD20</t>
  </si>
  <si>
    <t>FCGR3B</t>
  </si>
  <si>
    <t>CD16|CD16A|CD16b|FCG3|FCGR3|FCGR3A|FCR-10|FCRIII|FCRIIIb</t>
  </si>
  <si>
    <t>IMMUUN (AR);OMIM (AR;UK,AR,AD,XL)</t>
  </si>
  <si>
    <t>FCHO1</t>
  </si>
  <si>
    <t>IMD76</t>
  </si>
  <si>
    <t>IMMUUN (AR);OMIM (AR);SCID (AR)</t>
  </si>
  <si>
    <t>FCN3</t>
  </si>
  <si>
    <t>FCNH|HAKA1</t>
  </si>
  <si>
    <t>FCSK</t>
  </si>
  <si>
    <t>1110046B12Rik|CDGF2|FUK</t>
  </si>
  <si>
    <t>FDCSP</t>
  </si>
  <si>
    <t>C4orf7|FDC-SP</t>
  </si>
  <si>
    <t>FDFT1</t>
  </si>
  <si>
    <t>DGPT|ERG9|SQS|SQSD|SS</t>
  </si>
  <si>
    <t>FDPS</t>
  </si>
  <si>
    <t>FPPS|FPS|POROK9</t>
  </si>
  <si>
    <t>FDX2</t>
  </si>
  <si>
    <t>FDX1L|MEOAL</t>
  </si>
  <si>
    <t>FDXR</t>
  </si>
  <si>
    <t>ADR|ADXR|ANOA</t>
  </si>
  <si>
    <t>FECH</t>
  </si>
  <si>
    <t>EPP|EPP1|FCE</t>
  </si>
  <si>
    <t>DERM (AD,AR);IJZER (AR);LEVER (AR);METAB (AR);OMIM (AR;AD,AR);PCS (AR)</t>
  </si>
  <si>
    <t>FERMT1</t>
  </si>
  <si>
    <t>C20orf42|DTGCU2|KIND1|UNC112A|URP1</t>
  </si>
  <si>
    <t>FERMT3</t>
  </si>
  <si>
    <t>KIND3|MIG-2|MIG2B|UNC112C|URP2|URP2SF</t>
  </si>
  <si>
    <t>HEMOS (AR);IMMUUN (AR);LENGTE (AR);OMIM (AR);PCS (AR)</t>
  </si>
  <si>
    <t>FEZF1</t>
  </si>
  <si>
    <t>FEZ|HH22|ZNF312B</t>
  </si>
  <si>
    <t>DSD (AR);HH (AR);OMIM (AR);PCS (AR)</t>
  </si>
  <si>
    <t>FGA</t>
  </si>
  <si>
    <t>Fib2</t>
  </si>
  <si>
    <t>FGB</t>
  </si>
  <si>
    <t>HEL-S-78p</t>
  </si>
  <si>
    <t>FGD1</t>
  </si>
  <si>
    <t>AAS|FGDY|MRXS16|ZFYVE3</t>
  </si>
  <si>
    <t>CFA (XL);EPI (XL);LENGTE (XLR);MR (XL);OMIM (XLR);SCHISIS (XLR)</t>
  </si>
  <si>
    <t>FGD4</t>
  </si>
  <si>
    <t>CMT4H|FRABP|ZFYVE6</t>
  </si>
  <si>
    <t>FGF10</t>
  </si>
  <si>
    <t>FGF12</t>
  </si>
  <si>
    <t>DEE47|EIEE47|FGF12B|FHF1</t>
  </si>
  <si>
    <t>EPI (AD);HART (AD);MR (AD);OMIM (AD)</t>
  </si>
  <si>
    <t>FGF14</t>
  </si>
  <si>
    <t>FGF-14|FHF-4|FHF4|SCA27</t>
  </si>
  <si>
    <t>FGF16</t>
  </si>
  <si>
    <t>FGF-16|MF4</t>
  </si>
  <si>
    <t>FGF17</t>
  </si>
  <si>
    <t>FGF-13|FGF-17|HH20</t>
  </si>
  <si>
    <t>FGF20</t>
  </si>
  <si>
    <t>FGF-20|RHDA2</t>
  </si>
  <si>
    <t>FGF23</t>
  </si>
  <si>
    <t>ADHR|FGFN|HFTC2|HPDR2|HYPF|PHPTC</t>
  </si>
  <si>
    <t>DERM (AD,AR);LENGTE (AD,AR);NIER (AD);OMIM (AD;AR;AD,AR);PCS (AR)</t>
  </si>
  <si>
    <t>FGF3</t>
  </si>
  <si>
    <t>HBGF-3|INT2</t>
  </si>
  <si>
    <t>CFA (AR);DERM (AR);DOOF (AR);OMIM (AR);PCS (AR)</t>
  </si>
  <si>
    <t>FGF5</t>
  </si>
  <si>
    <t>HBGF-5|Smag-82|TCMGLY</t>
  </si>
  <si>
    <t>FGF8</t>
  </si>
  <si>
    <t>AIGF|FGF-8|HBGF-8|HH6|KAL6</t>
  </si>
  <si>
    <t>CFA (AD);DERM (AD);DSD (AR);HH (AR);LENGTE (AD);OMIM (AD;AR);SCHISIS (AD)</t>
  </si>
  <si>
    <t>FGF9</t>
  </si>
  <si>
    <t>FGF-9|GAF|HBFG-9|HBGF-9|SYNS3</t>
  </si>
  <si>
    <t>FGFR1</t>
  </si>
  <si>
    <t>BFGFR|CD331|CEK|ECCL|FGFBR|FGFR-1|FLG|FLT-2|FLT2|HBGFR|HH2|HRTFDS|KAL2|N-SAM|OGD|bFGF-R-1</t>
  </si>
  <si>
    <t>CFA (AD);DERM (AD);DSD (AD);HH (AD);LENGTE (AD);MR (AD);OMIM (AD);SCHISIS (AD)</t>
  </si>
  <si>
    <t>FGFR2</t>
  </si>
  <si>
    <t>BBDS|BEK|BFR-1|CD332|CEK3|CFD1|ECT1|JWS|K-SAM|KGFR|TK14|TK25</t>
  </si>
  <si>
    <t>CFA (AD);DERM (AD);DSD (AD);LENGTE (AD);MR (AD);OMIM (AD);SCHISIS (AD)</t>
  </si>
  <si>
    <t>FGFR3</t>
  </si>
  <si>
    <t>ACH|CD333|CEK2|HSFGFR3EX|JTK4</t>
  </si>
  <si>
    <t>CFA (AD);DERM (AD);DOOF (AD);LENGTE (AD);MR (AD);OMIM (AD,AR)</t>
  </si>
  <si>
    <t>FGG</t>
  </si>
  <si>
    <t>FH</t>
  </si>
  <si>
    <t>FMRD|HLRCC|HsFH|LRCC|MCL|MCUL1</t>
  </si>
  <si>
    <t>DERM (AD);LEVER (AR);METAB (AR);MR (AR);OMIM (AR;AD,AR);OXPHOS (AR);PCS (AR);TUMOR (AD,AR)</t>
  </si>
  <si>
    <t>FHL1</t>
  </si>
  <si>
    <t>FCMSU|FHL-1|FHL1A|FHL1B|FLH1A|KYOT|RBMX1A|RBMX1B|SLIM|SLIM-1|SLIM1|SLIMMER|XMPMA</t>
  </si>
  <si>
    <t>HART (XL);OMIM (XL);SPIER (XL)</t>
  </si>
  <si>
    <t>FHL2</t>
  </si>
  <si>
    <t>AAG11|DRAL|FHL-2|SLIM-3|SLIM3</t>
  </si>
  <si>
    <t>FHOD3</t>
  </si>
  <si>
    <t>FHOS2|Formactin2</t>
  </si>
  <si>
    <t>FIBP</t>
  </si>
  <si>
    <t>FGFIBP|FIBP-1|TROFAS</t>
  </si>
  <si>
    <t>FIG4</t>
  </si>
  <si>
    <t>ALS11|BTOP|CMT4J|KIAA0274|SAC3|YVS|dJ249I4.1</t>
  </si>
  <si>
    <t>ALS (AD);HMSN (AR);LENGTE (AD,AR);OMIM (AR;AD,AR);PCS (AR)</t>
  </si>
  <si>
    <t>FIGLA</t>
  </si>
  <si>
    <t>BHLHC8|FIGALPHA|POF6</t>
  </si>
  <si>
    <t>FIGN</t>
  </si>
  <si>
    <t>FITM2</t>
  </si>
  <si>
    <t>C20orf142|Fit2|SIDDIS|dJ881L22.2</t>
  </si>
  <si>
    <t>FKBP10</t>
  </si>
  <si>
    <t>BRKS1|FKBP65|OI11|OI6|PPIASE|hFKBP65</t>
  </si>
  <si>
    <t>FKBP14</t>
  </si>
  <si>
    <t>EDSKMH|EDSKSCL2|FKBP22|IPBP12</t>
  </si>
  <si>
    <t>DERM (AR);LENGTE (AR);OMIM (AR);PCS (AR);SPIER (AR)</t>
  </si>
  <si>
    <t>FKRP</t>
  </si>
  <si>
    <t>FKTR|LGMD2I|LGMDR9|MDC1C|MDDGA5|MDDGB5|MDDGC5</t>
  </si>
  <si>
    <t>AKI (AR);HART (AR);METAB (AR);MR (AR);OMIM (AR);PCS (AR);SPIER (AR)</t>
  </si>
  <si>
    <t>FKTN</t>
  </si>
  <si>
    <t>CMD1X|FCMD|LGMD2M|LGMDR13|MDDGA4|MDDGB4|MDDGC4</t>
  </si>
  <si>
    <t>HART (AR);METAB (AR);MR (AR);OMIM (AR);PCS (AR);SPIER (AR)</t>
  </si>
  <si>
    <t>FLAD1</t>
  </si>
  <si>
    <t>FAD1|FADS|LSMFLAD|PP591</t>
  </si>
  <si>
    <t>FLCN</t>
  </si>
  <si>
    <t>BHD|DENND8B|FLCL</t>
  </si>
  <si>
    <t>FLG</t>
  </si>
  <si>
    <t>ATOD2</t>
  </si>
  <si>
    <t>DERM (AD,AR);OMIM (AD;AD,AR);PCS (AR)</t>
  </si>
  <si>
    <t>FLG2</t>
  </si>
  <si>
    <t>IFPS|PSS6</t>
  </si>
  <si>
    <t>FLI1</t>
  </si>
  <si>
    <t>BDPLT21|EWSR2|SIC-1</t>
  </si>
  <si>
    <t>HEMOS (AD,AR);OMIM (AD,AR)</t>
  </si>
  <si>
    <t>FLNA</t>
  </si>
  <si>
    <t>ABP-280|ABPX|CSBS|CVD1|FGS2|FLN|FLN-A|FLN1|FMD|MNS|NHBP|OPD|OPD1|OPD2|XLVD|XMVD</t>
  </si>
  <si>
    <t>ANEURYSM (XL);CFA (XL);EPI (XL);HART (XL);HEMOS (XL);LENGTE (XL);LEVER (XLR);MR (XL);OMIM (XL;XLR);SCHISIS (XL)</t>
  </si>
  <si>
    <t>FLNB</t>
  </si>
  <si>
    <t>ABP-278|ABP-280|AOI|FH1|FLN-B|FLN1L|LRS1|SCT|TABP|TAP</t>
  </si>
  <si>
    <t>CFA (AD);LENGTE (AD,AR);OMIM (AD,AR);PCS (AR);SCHISIS (AD)</t>
  </si>
  <si>
    <t>FLNC</t>
  </si>
  <si>
    <t>ABP-280|ABP280A|ABPA|ABPL|CMH26|FLN2|MFM5|MPD4|RCM5</t>
  </si>
  <si>
    <t>AKI (AD);HART (AD);OMIM (AD);SPIER (AD)</t>
  </si>
  <si>
    <t>FLRT3</t>
  </si>
  <si>
    <t>HH21</t>
  </si>
  <si>
    <t>FLT1</t>
  </si>
  <si>
    <t>FLT|FLT-1|VEGFR-1|VEGFR1</t>
  </si>
  <si>
    <t>FLT3</t>
  </si>
  <si>
    <t>CD135|FLK-2|FLK2|STK1</t>
  </si>
  <si>
    <t>FLT4</t>
  </si>
  <si>
    <t>CHTD7|FLT-4|FLT41|LMPH1A|LMPHM1|PCL|VEGFR-3|VEGFR3</t>
  </si>
  <si>
    <t>CHD (AD);DERM (AD,AR);HART (AD);OMIM (AD;AD,AR)</t>
  </si>
  <si>
    <t>FLVCR1</t>
  </si>
  <si>
    <t>AXPC1|FLVCR|MFSD7B|PCA|PCARP|SLC49A1</t>
  </si>
  <si>
    <t>BEWEGING (AR);BLIND (AR);HMSN (AR);HNPD (AR);MR (AR);OMIM (AR);PCS (AR)</t>
  </si>
  <si>
    <t>FLVCR2</t>
  </si>
  <si>
    <t>C14orf58|CCT|EPV|FLVCRL14q|MFSD7C|PVHH|SLC49A2</t>
  </si>
  <si>
    <t>AKI (AR);MR (AR);OMIM (AR);PCS (AR)</t>
  </si>
  <si>
    <t>FMN1</t>
  </si>
  <si>
    <t>FMN|LD</t>
  </si>
  <si>
    <t>FMN2</t>
  </si>
  <si>
    <t>FMO3</t>
  </si>
  <si>
    <t>FMOII|TMAU|dJ127D3.1</t>
  </si>
  <si>
    <t>FMR1</t>
  </si>
  <si>
    <t>FMRP|FRAXA|POF|POF1</t>
  </si>
  <si>
    <t>FN1</t>
  </si>
  <si>
    <t>CIG|ED-B|FINC|FN|FNZ|GFND|GFND2|LETS|MSF|SMDCF</t>
  </si>
  <si>
    <t>LENGTE (AD);NIER (AD);OMIM (AD)</t>
  </si>
  <si>
    <t>FNIP1</t>
  </si>
  <si>
    <t>DERM (AD);HART (AR);IMMUUN (AR);OMIM (AD;AR)</t>
  </si>
  <si>
    <t>FOLR1</t>
  </si>
  <si>
    <t>FBP|FOLR|FRalpha|NCFTD</t>
  </si>
  <si>
    <t>FOXC1</t>
  </si>
  <si>
    <t>ARA|ASGD3|FKHL7|FREAC-3|FREAC3|IGDA|IHG1|IRID1|RIEG3</t>
  </si>
  <si>
    <t>BLIND (AD);CFA (AD,AR);OMIM (AD,AR)</t>
  </si>
  <si>
    <t>FOXC2</t>
  </si>
  <si>
    <t>FKHL14|LD|MFH-1|MFH1</t>
  </si>
  <si>
    <t>CHD (AD);DERM (AD);HART (AD);NIER (AD);OMIM (AD);SCHISIS (AD)</t>
  </si>
  <si>
    <t>FOXD4</t>
  </si>
  <si>
    <t>FKHL9|FOXD4A|FREAC-5|FREAC5</t>
  </si>
  <si>
    <t>FOXE1</t>
  </si>
  <si>
    <t>FKHL15|FOXE2|HFKH4|HFKL5|NMTC4|TITF2|TTF-2|TTF2</t>
  </si>
  <si>
    <t>CFA (AR);DERM (AR);OMIM (AR);PCS (AR);SCHISIS (AR)</t>
  </si>
  <si>
    <t>FOXE3</t>
  </si>
  <si>
    <t>AAT11|ASGD2|CTRCT34|FKHL12|FREAC8</t>
  </si>
  <si>
    <t>ANEURYSM (AD);BLIND (AR);HART (AD);OMIM (AD;AR);PCS (AR)</t>
  </si>
  <si>
    <t>FOXF1</t>
  </si>
  <si>
    <t>ACDMPV|FKHL5|FREAC1</t>
  </si>
  <si>
    <t>FOXF2</t>
  </si>
  <si>
    <t>FKHL6|FREAC-2|FREAC2</t>
  </si>
  <si>
    <t>FOXG1</t>
  </si>
  <si>
    <t>BF1|BF2|FHKL3|FKH2|FKHL1|FKHL2|FKHL3|FKHL4|FOXG1A|FOXG1B|FOXG1C|HBF-1|HBF-2|HBF-3|HBF-G2|HBF2|HFK1|HFK2|HFK3|KHL2|QIN</t>
  </si>
  <si>
    <t>FOXH1</t>
  </si>
  <si>
    <t>FAST-1|FAST1</t>
  </si>
  <si>
    <t>FOXI1</t>
  </si>
  <si>
    <t>FKH10|FKHL10|FREAC-6|FREAC6|HFH-3|HFH3</t>
  </si>
  <si>
    <t>DOOF (AD,AR);NIER (AR);OMIM (AR;AD,AR);PCS (AR)</t>
  </si>
  <si>
    <t>FOXJ1</t>
  </si>
  <si>
    <t>CILD43|FKHL13|HFH-4|HFH4</t>
  </si>
  <si>
    <t>FOXL1</t>
  </si>
  <si>
    <t>FKH6|FKHL11|FREAC7</t>
  </si>
  <si>
    <t>FOXL2</t>
  </si>
  <si>
    <t>BPES|BPES1|PFRK|PINTO|POF3</t>
  </si>
  <si>
    <t>FOXN1</t>
  </si>
  <si>
    <t>FKHL20|RONU|TIDAND|TLIND|WHN</t>
  </si>
  <si>
    <t>DERM (AR);IMMUUN (AD,AR);OMIM (AR;AD,AR);PCS (AR);SCID (AD,AR)</t>
  </si>
  <si>
    <t>FOXO1</t>
  </si>
  <si>
    <t>FKH1|FKHR|FOXO1A</t>
  </si>
  <si>
    <t>FOXP1</t>
  </si>
  <si>
    <t>12CC4|HSPC215|MFH|QRF1|hFKH1B</t>
  </si>
  <si>
    <t>FOXP2</t>
  </si>
  <si>
    <t>CAGH44|SPCH1|TNRC10</t>
  </si>
  <si>
    <t>FOXP3</t>
  </si>
  <si>
    <t>AIID|DIETER|IPEX|JM2|PIDX|XPID</t>
  </si>
  <si>
    <t>DERM (XL);IMMUUN (XL);OMIM (XL;XLR)</t>
  </si>
  <si>
    <t>FOXRED1</t>
  </si>
  <si>
    <t>FP634|H17|MC1DN19</t>
  </si>
  <si>
    <t>FPR1</t>
  </si>
  <si>
    <t>FMLP|FPR</t>
  </si>
  <si>
    <t>FRAS1</t>
  </si>
  <si>
    <t>FRASRS1</t>
  </si>
  <si>
    <t>DSD (AR);MR (AR);NIER (AR);OMIM (AR);PCS (AR);SCHISIS (AR)</t>
  </si>
  <si>
    <t>FREM1</t>
  </si>
  <si>
    <t>BNAR|C9orf143|C9orf145|C9orf154|MOTA|TILRR|TRIGNO2</t>
  </si>
  <si>
    <t>BLIND (AR);DERM (AD,AR);NIER (AR);OMIM (AR;AD,AR);PCS (AR)</t>
  </si>
  <si>
    <t>FREM2</t>
  </si>
  <si>
    <t>CRYPTOP|FRASRS2</t>
  </si>
  <si>
    <t>DSD (AR);NIER (AR);OMIM (AR);PCS (AR)</t>
  </si>
  <si>
    <t>FRMD4A</t>
  </si>
  <si>
    <t>CCAFCA|FRMD4|bA295P9.4</t>
  </si>
  <si>
    <t>FRMD7</t>
  </si>
  <si>
    <t>NYS|NYS1|XIPAN</t>
  </si>
  <si>
    <t>BEWEGING (XL);BLIND (XL);OMIM (XL)</t>
  </si>
  <si>
    <t>FRMPD4</t>
  </si>
  <si>
    <t>MRX104|PDZD10|PDZK10</t>
  </si>
  <si>
    <t>FRRS1L</t>
  </si>
  <si>
    <t>C9orf4|CG-6|CG6|DEE37|EIEE37</t>
  </si>
  <si>
    <t>FSCN2</t>
  </si>
  <si>
    <t>RFSN|RP30</t>
  </si>
  <si>
    <t>FSHB</t>
  </si>
  <si>
    <t>HH24</t>
  </si>
  <si>
    <t>FSHR</t>
  </si>
  <si>
    <t>FSHR1|FSHRO|LGR1|ODG1</t>
  </si>
  <si>
    <t>DSD (AR);OMIM (AR;AD,AR);PCS (AR)</t>
  </si>
  <si>
    <t>FSIP2</t>
  </si>
  <si>
    <t>SPGF34</t>
  </si>
  <si>
    <t>FTCD</t>
  </si>
  <si>
    <t>LCHC1</t>
  </si>
  <si>
    <t>FTH1</t>
  </si>
  <si>
    <t>FHC|FTH|FTHL6|HFE5|PIG15|PLIF</t>
  </si>
  <si>
    <t>FTL</t>
  </si>
  <si>
    <t>LFTD|NBIA3</t>
  </si>
  <si>
    <t>BEWEGING (AD);BLIND (AD);IJZER (AD,AR);OMIM (AD;AD,AR);OXPHOS (AR);PARK (AD)</t>
  </si>
  <si>
    <t>FTO</t>
  </si>
  <si>
    <t>ALKBH9|BMIQ14|GDFD</t>
  </si>
  <si>
    <t>MR (AR);OMIM (AR);PCS (AR);SCHISIS (AR)</t>
  </si>
  <si>
    <t>FTSJ1</t>
  </si>
  <si>
    <t>CDLIV|JM23|MRX44|MRX9|SPB1|TRMT7</t>
  </si>
  <si>
    <t>FUCA1</t>
  </si>
  <si>
    <t>FUCA</t>
  </si>
  <si>
    <t>FUS</t>
  </si>
  <si>
    <t>ALS6|ETM4|FUS1|HNRNPP2|POMP75|TLS|altFUS</t>
  </si>
  <si>
    <t>FUT2</t>
  </si>
  <si>
    <t>B12QTL1|SE|SEC2|Se2|sej</t>
  </si>
  <si>
    <t>FUT6</t>
  </si>
  <si>
    <t>FCT3A|FT1A|Fuc-TVI|FucT-VI</t>
  </si>
  <si>
    <t>METAB (AR);OMIM (UK,AR,AD,XL)</t>
  </si>
  <si>
    <t>FUT8</t>
  </si>
  <si>
    <t>CDGF|CDGF1</t>
  </si>
  <si>
    <t>FUZ</t>
  </si>
  <si>
    <t>CPLANE3|FY|NTD</t>
  </si>
  <si>
    <t>CILIO (AD);LENGTE (AR);OMIM (AD;AR)</t>
  </si>
  <si>
    <t>FXN</t>
  </si>
  <si>
    <t>CyaY|FA|FARR|FRDA|X25</t>
  </si>
  <si>
    <t>HMSN (AD);IJZER (AR);OMIM (AR;AD);OXPHOS (AR);PCS (AR)</t>
  </si>
  <si>
    <t>FXYD2</t>
  </si>
  <si>
    <t>ATP1G1|HOMG2</t>
  </si>
  <si>
    <t>EPI (AD);NIER (AD);OMIM (AD)</t>
  </si>
  <si>
    <t>FYB1</t>
  </si>
  <si>
    <t>ADAP|FYB|PRO0823|SLAP-130|SLAP130|THC3</t>
  </si>
  <si>
    <t>FYCO1</t>
  </si>
  <si>
    <t>CATC2|CTRCT18|RUFY3|ZFYVE7</t>
  </si>
  <si>
    <t>FZD1</t>
  </si>
  <si>
    <t>FZD2</t>
  </si>
  <si>
    <t>Fz2|OMOD2|fz-2|fzE2|hFz2</t>
  </si>
  <si>
    <t>DSD (AD);LENGTE (AD);OMIM (AD)</t>
  </si>
  <si>
    <t>FZD4</t>
  </si>
  <si>
    <t>CD344|EVR1|FEVR|FZD4S|Fz-4|Fz4|FzE4|GPCR|hFz4</t>
  </si>
  <si>
    <t>FZD6</t>
  </si>
  <si>
    <t>FZ-6|FZ6|HFZ6|NDNC1|NDNC10</t>
  </si>
  <si>
    <t>G6PC1</t>
  </si>
  <si>
    <t>G6PC|G6PT|G6Pase|GSD1|GSD1a</t>
  </si>
  <si>
    <t>G6PC</t>
  </si>
  <si>
    <t>IMMUUN (AR);METAB (AR);NIER (AR);OMIM (AR);PCS (AR)</t>
  </si>
  <si>
    <t>G6PC3</t>
  </si>
  <si>
    <t>SCN4|UGRP</t>
  </si>
  <si>
    <t>BMF (AR);IMMUUN (AR);METAB (AR);OMIM (AR);PCS (AR);TUMOR (AR)</t>
  </si>
  <si>
    <t>G6PD</t>
  </si>
  <si>
    <t>G6PD1</t>
  </si>
  <si>
    <t>IMMUUN (XL);METAB (XL);OMIM (XL)</t>
  </si>
  <si>
    <t>GAA</t>
  </si>
  <si>
    <t>LYAG</t>
  </si>
  <si>
    <t>GAB1</t>
  </si>
  <si>
    <t>DFNB26</t>
  </si>
  <si>
    <t>GABBR2</t>
  </si>
  <si>
    <t>DEE59|EIEE59|GABABR2|GPR51|GPRC3B|HG20|HRIHFB2099|NDPLHS</t>
  </si>
  <si>
    <t>GABRA1</t>
  </si>
  <si>
    <t>DEE19|ECA4|EIEE19|EJM|EJM5</t>
  </si>
  <si>
    <t>GABRA2</t>
  </si>
  <si>
    <t>DEE78|EIEE78</t>
  </si>
  <si>
    <t>GABRA3</t>
  </si>
  <si>
    <t>GABRA5</t>
  </si>
  <si>
    <t>DEE79|EIEE79</t>
  </si>
  <si>
    <t>GABRB1</t>
  </si>
  <si>
    <t>DEE45|EIEE45</t>
  </si>
  <si>
    <t>GABRB2</t>
  </si>
  <si>
    <t>DEE92|ICEE2</t>
  </si>
  <si>
    <t>GABRB3</t>
  </si>
  <si>
    <t>DEE43|ECA5|EIEE43</t>
  </si>
  <si>
    <t>GABRG2</t>
  </si>
  <si>
    <t>CAE2|DEE74|ECA2|EIEE74|FEB8|GEFSP3</t>
  </si>
  <si>
    <t>GAD1</t>
  </si>
  <si>
    <t>CPSQ1|DEE89|GAD|SCP</t>
  </si>
  <si>
    <t>GAL</t>
  </si>
  <si>
    <t>ETL8|GAL-GMAP|GALN|GLNN|GMAP</t>
  </si>
  <si>
    <t>GALC</t>
  </si>
  <si>
    <t>BEWEGING (AR);HMSN (AR);METAB (AR);MR (AR);OMIM (AR);PCS (AR)</t>
  </si>
  <si>
    <t>GALE</t>
  </si>
  <si>
    <t>SDR1E1</t>
  </si>
  <si>
    <t>GALK1</t>
  </si>
  <si>
    <t>GALK|GK1|HEL-S-19</t>
  </si>
  <si>
    <t>GALM</t>
  </si>
  <si>
    <t>BLOCK25|GALAC4|GLAT|HEL-S-63p|IBD1</t>
  </si>
  <si>
    <t>BLIND (AR);METAB (AR);OMIM (AR)</t>
  </si>
  <si>
    <t>GALNS</t>
  </si>
  <si>
    <t>GALNAC6S|GAS|GalN6S|MPS4A</t>
  </si>
  <si>
    <t>DERM (AR);LENGTE (AR);METAB (AR);OMIM (AR);PCS (AR)</t>
  </si>
  <si>
    <t>GALNT12</t>
  </si>
  <si>
    <t>CRCS1|GalNAc-T12</t>
  </si>
  <si>
    <t>GALNT2</t>
  </si>
  <si>
    <t>CDG2T|GalNAc-T2</t>
  </si>
  <si>
    <t>GALNT3</t>
  </si>
  <si>
    <t>GalNAc-T3|HFTC|HFTC1|HHS</t>
  </si>
  <si>
    <t>DERM (AR);LENGTE (AR);METAB (AR);NIER (AR);OMIM (AR);PCS (AR)</t>
  </si>
  <si>
    <t>GALT</t>
  </si>
  <si>
    <t>BLIND (AR);LEVER (AR);METAB (AR);MR (AR);OMIM (AR);PCS (AR)</t>
  </si>
  <si>
    <t>GAMT</t>
  </si>
  <si>
    <t>CCDS2|HEL-S-20|PIG2|TP53I2</t>
  </si>
  <si>
    <t>GAN</t>
  </si>
  <si>
    <t>GAN1|GIG|KLHL16</t>
  </si>
  <si>
    <t>BEWEGING (AD,AR);DERM (AR);HMSN (AR);OMIM (AR;AD,AR);PCS (AR)</t>
  </si>
  <si>
    <t>GANAB</t>
  </si>
  <si>
    <t>G2AN|GIIA|GLUII|PKD3</t>
  </si>
  <si>
    <t>LEVER (AD);METAB (AD);NIER (AD);OMIM (AD)</t>
  </si>
  <si>
    <t>GAPVD1</t>
  </si>
  <si>
    <t>GAPEX5|GAPex-5|RAP6</t>
  </si>
  <si>
    <t>GARS1</t>
  </si>
  <si>
    <t>CMT2D|DSMAV|GARS|GlyRS|HMN5|HMN5A|SMAD1|SMAJI</t>
  </si>
  <si>
    <t>HMSN (AD);OMIM (AD;AD,AR);OXPHOS (AD,AR)</t>
  </si>
  <si>
    <t>GAS2</t>
  </si>
  <si>
    <t>GAS-2</t>
  </si>
  <si>
    <t>GAS2L2</t>
  </si>
  <si>
    <t>CILD41|GAR17</t>
  </si>
  <si>
    <t>GAS8</t>
  </si>
  <si>
    <t>CILD33|DRC4|GAS11</t>
  </si>
  <si>
    <t>GATA1</t>
  </si>
  <si>
    <t>ERYF1|GATA-1|GF-1|GF1|NF-E1|NFE1|XLANP|XLTDA|XLTT</t>
  </si>
  <si>
    <t>BMF (XL);HEMOS (XL);IJZER (XL);OMIM (XLR)</t>
  </si>
  <si>
    <t>GATA2</t>
  </si>
  <si>
    <t>DCML|IMD21|MONOMAC|NFE1B</t>
  </si>
  <si>
    <t>BMF (AD);DERM (AD);HEMOS (AD);IMMUUN (AD);OMIM (AD);TUMOR (AD)</t>
  </si>
  <si>
    <t>GATA3</t>
  </si>
  <si>
    <t>HDR|HDRS</t>
  </si>
  <si>
    <t>GATA4</t>
  </si>
  <si>
    <t>ASD2|TACHD|TOF|VSD1</t>
  </si>
  <si>
    <t>CHD (AD);DSD (AD);HART (AD);OMIM (AD)</t>
  </si>
  <si>
    <t>GATA5</t>
  </si>
  <si>
    <t>CHTD5|GATAS|bB379O24.1</t>
  </si>
  <si>
    <t>ANEURYSM (AD);CHD (AD,AR);HART (AD);OMIM (AD,AR)</t>
  </si>
  <si>
    <t>GATA6</t>
  </si>
  <si>
    <t>GATAD1</t>
  </si>
  <si>
    <t>CMD2B|ODAG|RG083M05.2</t>
  </si>
  <si>
    <t>GATAD2B</t>
  </si>
  <si>
    <t>GANDS|MRD18|P66beta|p68</t>
  </si>
  <si>
    <t>GATB</t>
  </si>
  <si>
    <t>COXPD41|HSPC199|PET112|PET112L</t>
  </si>
  <si>
    <t>HART (AR);OMIM (AR);OXPHOS (AR)</t>
  </si>
  <si>
    <t>GATC</t>
  </si>
  <si>
    <t>15E1.2|COXPD42</t>
  </si>
  <si>
    <t>GATM</t>
  </si>
  <si>
    <t>AGAT|AT|CCDS3|FRTS1</t>
  </si>
  <si>
    <t>METAB (AR);MR (AR);OMIM (AR);OXPHOS (AR);PCS (AR);SPIER (AR)</t>
  </si>
  <si>
    <t>GBA</t>
  </si>
  <si>
    <t>GBA1|GCB|GLUC</t>
  </si>
  <si>
    <t>AKI (AR);BEWEGING (AR);BMF (AR);HEMOS (AR);LEVER (AR);METAB (AR);OMIM (AR;AD);PARK (AD);PCS (AR)</t>
  </si>
  <si>
    <t>GBA2</t>
  </si>
  <si>
    <t>AD035|NLGase|SPG46</t>
  </si>
  <si>
    <t>BEWEGING (AR);METAB (AR);OMIM (AR);PCS (AR)</t>
  </si>
  <si>
    <t>GBE1</t>
  </si>
  <si>
    <t>APBD|GBE|GSD4</t>
  </si>
  <si>
    <t>AKI (AR);BEWEGING (AR);HART (AR);HMSN (AR);LEVER (AR);METAB (AR);OMIM (AR);PCS (AR);SPIER (AR)</t>
  </si>
  <si>
    <t>GBF1</t>
  </si>
  <si>
    <t>ARF1GEF</t>
  </si>
  <si>
    <t>HMSN (AD);OMIM (AD);OXPHOS (AD)</t>
  </si>
  <si>
    <t>GCDH</t>
  </si>
  <si>
    <t>ACAD5|GCD</t>
  </si>
  <si>
    <t>GCH1</t>
  </si>
  <si>
    <t>DYT14|DYT5|DYT5a|GCH|GTP-CH-1|GTPCH1|HPABH4B</t>
  </si>
  <si>
    <t>BEWEGING (AD);METAB (AD,AR);MR (AD,AR);OMIM (AR;AD,AR);PARK (AD);PCS (AR)</t>
  </si>
  <si>
    <t>GCK</t>
  </si>
  <si>
    <t>FGQTL3|GK|GLK|HHF3|HK4|HKIV|HXKP|LGLK|MODY2|PNDM1</t>
  </si>
  <si>
    <t>EPI (AD);METAB (AR);OMIM (AD;AD,AR);PCS (AR)</t>
  </si>
  <si>
    <t>GCLC</t>
  </si>
  <si>
    <t>GCL|GCS|GLCL|GLCLC</t>
  </si>
  <si>
    <t>GCLM</t>
  </si>
  <si>
    <t>GLCLR</t>
  </si>
  <si>
    <t>GCM2</t>
  </si>
  <si>
    <t>FIH2|GCMB|HRPT4|hGCMb</t>
  </si>
  <si>
    <t>LENGTE (AD);NIER (AD);OMIM (AD;AD,AR)</t>
  </si>
  <si>
    <t>GCNT2</t>
  </si>
  <si>
    <t>CCAT|CTRCT13|GCNT2C|GCNT5|IGNT|II|NACGT1|NAGCT1|ULG3|bA360O19.2|bA421M1.1</t>
  </si>
  <si>
    <t>GCSH</t>
  </si>
  <si>
    <t>GCE|NKH</t>
  </si>
  <si>
    <t>GDAP1</t>
  </si>
  <si>
    <t>CMT4|CMT4A|CMTRIA</t>
  </si>
  <si>
    <t>HMSN (AD,AR);OMIM (AD,AR);OXPHOS (AD,AR);PCS (AR)</t>
  </si>
  <si>
    <t>GDAP2</t>
  </si>
  <si>
    <t>MACROD3|SCAR27</t>
  </si>
  <si>
    <t>GDF1</t>
  </si>
  <si>
    <t>CERS1|CHTD6|DORV|DTGA3|LAG1|LASS1|RAI|UOG1</t>
  </si>
  <si>
    <t>CHD (AD,AR);CILIO (AR);HART (AD);OMIM (AR;AD,AR);PCS (AR)</t>
  </si>
  <si>
    <t>GDF2</t>
  </si>
  <si>
    <t>BMP-9|BMP9|HHT5</t>
  </si>
  <si>
    <t>DERM (AD);HART (AD);HEMOS (AD);OMIM (AD)</t>
  </si>
  <si>
    <t>GDF3</t>
  </si>
  <si>
    <t>KFS3|MCOP7|MCOPCB6</t>
  </si>
  <si>
    <t>BLIND (AD);CFA (AD);LENGTE (AD);OMIM (AD)</t>
  </si>
  <si>
    <t>GDF5</t>
  </si>
  <si>
    <t>BDA1C|BMP-14|BMP14|CDMP1|DUPANS|LAP-4|LAP4|OS5|SYM1B|SYNS2</t>
  </si>
  <si>
    <t>DERM (AR);LENGTE (AD,AR);OMIM (AD,AR);PCS (AR)</t>
  </si>
  <si>
    <t>GDF6</t>
  </si>
  <si>
    <t>BMP-13|BMP13|CDMP2|KFM|KFS|KFS1|KFSL|SGM1|SYNS4</t>
  </si>
  <si>
    <t>BLIND (AD,AR);CFA (AD);LENGTE (AD);OMIM (AD;AD,AR);SCHISIS (AD)</t>
  </si>
  <si>
    <t>GDF9</t>
  </si>
  <si>
    <t>POF14</t>
  </si>
  <si>
    <t>GDI1</t>
  </si>
  <si>
    <t>1A|GDIL|MRX41|MRX48|OPHN2|RABGD1A|RABGDIA|XAP-4</t>
  </si>
  <si>
    <t>GDNF</t>
  </si>
  <si>
    <t>ATF|ATF1|ATF2|HFB1-GDNF|HSCR3</t>
  </si>
  <si>
    <t>LEVER (AD);OMIM (AD);TUMOR (AD)</t>
  </si>
  <si>
    <t>GDPD1</t>
  </si>
  <si>
    <t>GDE4</t>
  </si>
  <si>
    <t>GEMIN4</t>
  </si>
  <si>
    <t>HC56|HCAP1|HHRF-1|NEDMCR|p97</t>
  </si>
  <si>
    <t>GFAP</t>
  </si>
  <si>
    <t>ALXDRD</t>
  </si>
  <si>
    <t>GFER</t>
  </si>
  <si>
    <t>ALR|ERV1|HERV1|HPO|HPO1|HPO2|HSS|MMCHD|MPMCD</t>
  </si>
  <si>
    <t>BLIND (AR);MR (AR);OMIM (AR;UK,AR,AD,XL);OXPHOS (AR);PCS (AR)</t>
  </si>
  <si>
    <t>GFI1</t>
  </si>
  <si>
    <t>GFI-1|GFI1A|SCN2|ZNF163</t>
  </si>
  <si>
    <t>GFI1B</t>
  </si>
  <si>
    <t>BDPLT17|ZNF163B</t>
  </si>
  <si>
    <t>HEMOS (AD);OMIM (AD;AD,AR)</t>
  </si>
  <si>
    <t>GFM1</t>
  </si>
  <si>
    <t>COXPD1|EFG|EFG1|EFGM|EGF1|GFM|hEFG1|mtEF-G1</t>
  </si>
  <si>
    <t>LEVER (AR);MR (AR);OMIM (AR);OXPHOS (AR);PCS (AR)</t>
  </si>
  <si>
    <t>GFM2</t>
  </si>
  <si>
    <t>EF-G2mt|EFG2|MRRF2|MST027|MSTP027|RRF|RRF2|RRF2mt|hEFG2|mEF-G 2</t>
  </si>
  <si>
    <t>GFPT1</t>
  </si>
  <si>
    <t>CMS12|CMSTA1|GFA|GFAT|GFAT 1|GFAT1|GFAT1m|GFPT|GFPT1L|MSLG</t>
  </si>
  <si>
    <t>METAB (AR);OMIM (AR);PCS (AR);SPIER (AR)</t>
  </si>
  <si>
    <t>GFRA1</t>
  </si>
  <si>
    <t>GDNFR|GDNFRA|GFR-ALPHA-1|GFRalpha-1|RET1L|RETL1|TRNR1</t>
  </si>
  <si>
    <t>GGCX</t>
  </si>
  <si>
    <t>VKCFD1</t>
  </si>
  <si>
    <t>DERM (AD,AR);HEMOS (AD,AR);OMIM (AR;AD,AR);PCS (AR)</t>
  </si>
  <si>
    <t>GGPS1</t>
  </si>
  <si>
    <t>GGPPS|GGPPS1</t>
  </si>
  <si>
    <t>GGT1</t>
  </si>
  <si>
    <t>CD224|D22S672|D22S732|GGT|GGT 1|GGTD|GTG</t>
  </si>
  <si>
    <t>GH1</t>
  </si>
  <si>
    <t>GH|GH-N|GHB5|GHN|IGHD1A|IGHD1B|IGHD2|hGH-N</t>
  </si>
  <si>
    <t>GHR</t>
  </si>
  <si>
    <t>GHBP|GHIP</t>
  </si>
  <si>
    <t>GHRHR</t>
  </si>
  <si>
    <t>GHRFR|GRFR|IGHD1B|IGHD4</t>
  </si>
  <si>
    <t>LENGTE (AD,AR);OMIM (UK,AR,AD,XL;AD,AR);PCS (AR)</t>
  </si>
  <si>
    <t>GHSR</t>
  </si>
  <si>
    <t>GHDP</t>
  </si>
  <si>
    <t>GIMAP5</t>
  </si>
  <si>
    <t>HIMAP3|IAN-5|IAN4|IAN4L1|IAN5|IMAP3|IROD</t>
  </si>
  <si>
    <t>GINS1</t>
  </si>
  <si>
    <t>IMD55|PSF1</t>
  </si>
  <si>
    <t>GIPC3</t>
  </si>
  <si>
    <t>C19orf64|DFNB15|DFNB72|DFNB95</t>
  </si>
  <si>
    <t>GJA1</t>
  </si>
  <si>
    <t>AVSD3|CMDR|CX43|EKVP|EKVP3|GJAL|HLHS1|HSS|ODDD|PPKCA</t>
  </si>
  <si>
    <t>BLIND (AD,AR);CFA (AD,AR);CHD (AR);DERM (AD,AR);HART (AR);LENGTE (AD,AR);MR (AD);OMIM (AD,AR);PCS (AR);SCHISIS (AD)</t>
  </si>
  <si>
    <t>GJA3</t>
  </si>
  <si>
    <t>CTRCT14|CX46|CZP3</t>
  </si>
  <si>
    <t>GJA5</t>
  </si>
  <si>
    <t>ATFB11|CX40</t>
  </si>
  <si>
    <t>GJA8</t>
  </si>
  <si>
    <t>CAE|CAE1|CTRCT1|CX50|CZP1|MP70</t>
  </si>
  <si>
    <t>GJB1</t>
  </si>
  <si>
    <t>CMTX|CMTX1|CX32</t>
  </si>
  <si>
    <t>HMSN (XL);MR (XL);OMIM (XL)</t>
  </si>
  <si>
    <t>GJB2</t>
  </si>
  <si>
    <t>BAPS|CX26|DFNA3|DFNA3A|DFNB1|DFNB1A|HID|KID|NSRD1|PPK</t>
  </si>
  <si>
    <t>DERM (AD,AR);DOOF (AD,AR);OMIM (AD,AR);PCS (AR)</t>
  </si>
  <si>
    <t>GJB3</t>
  </si>
  <si>
    <t>CX31|DFNA2|DFNA2B|EKV|EKVP1</t>
  </si>
  <si>
    <t>DERM (AD);DOOF (AD,AR);HMSN (AD,AR);OMIM (AD,AR)</t>
  </si>
  <si>
    <t>GJB4</t>
  </si>
  <si>
    <t>CX30.3|EKV|EKVP2</t>
  </si>
  <si>
    <t>GJB6</t>
  </si>
  <si>
    <t>CX30|DFNA3|DFNA3B|DFNB1B|ECTD2|ED2|EDH|HED|HED2</t>
  </si>
  <si>
    <t>CFA (AD);DERM (AR);DOOF (AD,AR);OMIM (AD,AR);PCS (AR)</t>
  </si>
  <si>
    <t>GJC2</t>
  </si>
  <si>
    <t>CX46.6|Cx47|GJA12|HLD2|LMPH1C|LMPHM3|PMLDAR|SPG44</t>
  </si>
  <si>
    <t>BEWEGING (AR);DERM (AD,AR);IMMUUN (AD);MR (AR);OMIM (AR;AD,AR);PCS (AR)</t>
  </si>
  <si>
    <t>GK</t>
  </si>
  <si>
    <t>GK1|GKD</t>
  </si>
  <si>
    <t>DSD (XLR);METAB (XL);MR (XL);OMIM (XLR)</t>
  </si>
  <si>
    <t>GLA</t>
  </si>
  <si>
    <t>GALA</t>
  </si>
  <si>
    <t>DERM (XL);DOOF (XL);HART (XL);HMSN (XL);HNPD (XL);METAB (XL);NIER (XL);OMIM (XL)</t>
  </si>
  <si>
    <t>GLB1</t>
  </si>
  <si>
    <t>EBP|ELNR1|MPS4B</t>
  </si>
  <si>
    <t>BEWEGING (AR);DERM (AR);HART (AR);LENGTE (AR);METAB (AR);MR (AR);OMIM (AR);PCS (AR)</t>
  </si>
  <si>
    <t>GLDC</t>
  </si>
  <si>
    <t>GCE|GCSP|HYGN1</t>
  </si>
  <si>
    <t>GLDN</t>
  </si>
  <si>
    <t>CLOM|COLM|CRG-L2|CRGL2|LCCS11|UNC-112|UNC-122</t>
  </si>
  <si>
    <t>GLE1</t>
  </si>
  <si>
    <t>CAAHC|CAAHD|GLE1L|LCCS|LCCS1|hGLE1</t>
  </si>
  <si>
    <t>GLI1</t>
  </si>
  <si>
    <t>GLI|PAPA8|PPD1</t>
  </si>
  <si>
    <t>GLI2</t>
  </si>
  <si>
    <t>CJS|HPE9|PHS2|THP1|THP2</t>
  </si>
  <si>
    <t>GLI3</t>
  </si>
  <si>
    <t>ACLS|GCPS|GLI3-190|GLI3FL|PAP-A|PAPA|PAPA1|PAPB|PHS|PPDIV</t>
  </si>
  <si>
    <t>CFA (AD);LENGTE (AD);LEVER (AD);MR (AD);NIER (AD);OMIM (AD);SCHISIS (AD)</t>
  </si>
  <si>
    <t>GLIS2</t>
  </si>
  <si>
    <t>NKL|NPHP7</t>
  </si>
  <si>
    <t>CILIO (AR);NIER (AR);OMIM (UK,AR,AD,XL);PCS (AR)</t>
  </si>
  <si>
    <t>GLIS3</t>
  </si>
  <si>
    <t>NDH|ZNF515</t>
  </si>
  <si>
    <t>LEVER (AR);MR (AR);NIER (AR);OMIM (AR);PCS (AR)</t>
  </si>
  <si>
    <t>GLMN</t>
  </si>
  <si>
    <t>FAP|FAP48|FAP68|FKBPAP|GLML|GVM|VMGLOM</t>
  </si>
  <si>
    <t>GLRA1</t>
  </si>
  <si>
    <t>HKPX1|STHE</t>
  </si>
  <si>
    <t>EPI (AD,AR);METAB (AD,AR);OMIM (AD,AR);PCS (AR)</t>
  </si>
  <si>
    <t>GLRB</t>
  </si>
  <si>
    <t>HKPX2</t>
  </si>
  <si>
    <t>GLRX5</t>
  </si>
  <si>
    <t>C14orf87|FLB4739|GRX5|PR01238|PRO1238|PRSA|SIDBA3|SPAHGC</t>
  </si>
  <si>
    <t>IJZER (AR);METAB (AR);OMIM (AR);OXPHOS (AR);PCS (AR)</t>
  </si>
  <si>
    <t>GLS</t>
  </si>
  <si>
    <t>AAD20|CASGID|DEE71|EIEE71|GAC|GAM|GDPAG|GLS1|KGA</t>
  </si>
  <si>
    <t>METAB (AR);OMIM (AR;AD,AR);PCS (AR)</t>
  </si>
  <si>
    <t>GLUD1</t>
  </si>
  <si>
    <t>GDH|GDH1|GLUD</t>
  </si>
  <si>
    <t>EPI (AD);METAB (AR);MR (AD);OMIM (AR;AD);OXPHOS (AD)</t>
  </si>
  <si>
    <t>GLUL</t>
  </si>
  <si>
    <t>GLNS|GS|PIG43|PIG59</t>
  </si>
  <si>
    <t>GLYCTK</t>
  </si>
  <si>
    <t>HBEBP2|HBEBP4|HBeAgBP4A</t>
  </si>
  <si>
    <t>GM2A</t>
  </si>
  <si>
    <t>GM2-AP|SAP-3</t>
  </si>
  <si>
    <t>GMNN</t>
  </si>
  <si>
    <t>Gem|MGORS6</t>
  </si>
  <si>
    <t>GMPPA</t>
  </si>
  <si>
    <t>AAMR</t>
  </si>
  <si>
    <t>GMPPB</t>
  </si>
  <si>
    <t>LGMDR19|MDDGA14|MDDGB14|MDDGC14</t>
  </si>
  <si>
    <t>GMPR</t>
  </si>
  <si>
    <t>GMPR 1|GMPR1</t>
  </si>
  <si>
    <t>OMIM (AD);OXPHOS (AD)</t>
  </si>
  <si>
    <t>GMPS</t>
  </si>
  <si>
    <t>GATD7</t>
  </si>
  <si>
    <t>GNA11</t>
  </si>
  <si>
    <t>FBH|FBH2|FHH2|GNA-11|HHC2|HYPOC2</t>
  </si>
  <si>
    <t>DERM (AD);NIER (AD);OMIM (AD)</t>
  </si>
  <si>
    <t>GNA14</t>
  </si>
  <si>
    <t>GNAI1</t>
  </si>
  <si>
    <t>Gi</t>
  </si>
  <si>
    <t>GNAI2</t>
  </si>
  <si>
    <t>GIP|GNAI2B|H_LUCA15.1|H_LUCA16.1</t>
  </si>
  <si>
    <t>GNAI3</t>
  </si>
  <si>
    <t>87U6|ARCND1</t>
  </si>
  <si>
    <t>CFA (AD);LENGTE (AD);OMIM (AD);SCHISIS (AD)</t>
  </si>
  <si>
    <t>GNAL</t>
  </si>
  <si>
    <t>DYT25</t>
  </si>
  <si>
    <t>GNAO1</t>
  </si>
  <si>
    <t>DEE17|EIEE17|G-ALPHA-o|GNAO|HLA-DQB1|NEDIM</t>
  </si>
  <si>
    <t>GNAQ</t>
  </si>
  <si>
    <t>CMC1|G-ALPHA-q|GAQ|SWS</t>
  </si>
  <si>
    <t>DERM (AD);OMIM (AD;UK,AR,AD,XL)</t>
  </si>
  <si>
    <t>GNAS</t>
  </si>
  <si>
    <t>AHO|C20orf45|GNAS1|GPSA|GSA|GSP|NESP|PITA3|POH|SCG6|SgVI</t>
  </si>
  <si>
    <t>DERM (AD);LENGTE (AD,IMP);MR (AD,IMP);OMIM (AD;AD,IMP)</t>
  </si>
  <si>
    <t>GNAS-AS1</t>
  </si>
  <si>
    <t>GNAS-AS|GNAS1AS|GNASAS|NCRNA00075|NESP-AS|NESPAS|SANG</t>
  </si>
  <si>
    <t>GNAT1</t>
  </si>
  <si>
    <t>CSNB1G|CSNBAD3|GBT1|GNATR</t>
  </si>
  <si>
    <t>BLIND (AD,AR);OMIM (AD,AR)</t>
  </si>
  <si>
    <t>GNAT2</t>
  </si>
  <si>
    <t>ACHM4|GNATC</t>
  </si>
  <si>
    <t>GNB1</t>
  </si>
  <si>
    <t>MDS|MRD42</t>
  </si>
  <si>
    <t>GNB2</t>
  </si>
  <si>
    <t>GNB3</t>
  </si>
  <si>
    <t>CSNB1H</t>
  </si>
  <si>
    <t>GNB4</t>
  </si>
  <si>
    <t>CMTD1F</t>
  </si>
  <si>
    <t>GNB5</t>
  </si>
  <si>
    <t>GB5|IDDCA|LADCI|gbeta5</t>
  </si>
  <si>
    <t>GNE</t>
  </si>
  <si>
    <t>DMRV|GLCNE|IBM2|NM|Uae1</t>
  </si>
  <si>
    <t>HEMOS (AR);HMSN (AR);METAB (AR);OMIM (AR;AD,AR);PCS (AR);SPIER (AR)</t>
  </si>
  <si>
    <t>GNMT</t>
  </si>
  <si>
    <t>HEL-S-182mP</t>
  </si>
  <si>
    <t>GNPAT</t>
  </si>
  <si>
    <t>DAP-AT|DAPAT|DHAPAT|RCDP2</t>
  </si>
  <si>
    <t>GNPNAT1</t>
  </si>
  <si>
    <t>GNA1|GNPNAT|Gpnat1</t>
  </si>
  <si>
    <t>GNPTAB</t>
  </si>
  <si>
    <t>GNPTA|ICD</t>
  </si>
  <si>
    <t>CFA (AR);HART (AR);LENGTE (AR);METAB (AR);MR (AR);OMIM (AR);PCS (AR)</t>
  </si>
  <si>
    <t>GNPTG</t>
  </si>
  <si>
    <t>C16orf27|GNPTAG|LP2537|RJD9</t>
  </si>
  <si>
    <t>BLIND (AR);LENGTE (AR);METAB (AR);MR (AR);OMIM (AR);PCS (AR)</t>
  </si>
  <si>
    <t>GNRH1</t>
  </si>
  <si>
    <t>GNRH|GRH|LHRH|LNRH</t>
  </si>
  <si>
    <t>GNRHR</t>
  </si>
  <si>
    <t>GNRHR1|GRHR|HH7|LHRHR|LRHR</t>
  </si>
  <si>
    <t>GNS</t>
  </si>
  <si>
    <t>G6S</t>
  </si>
  <si>
    <t>GORAB</t>
  </si>
  <si>
    <t>GO|NTKLBP1|SCYL1BP1</t>
  </si>
  <si>
    <t>GOSR2</t>
  </si>
  <si>
    <t>Bos1|EPM6|GS27</t>
  </si>
  <si>
    <t>GOT1</t>
  </si>
  <si>
    <t>AST1|ASTQTL1|GIG18|cAspAT|cCAT</t>
  </si>
  <si>
    <t>GOT2</t>
  </si>
  <si>
    <t>DEE82|KAT4|KATIV|KYAT4|mitAAT</t>
  </si>
  <si>
    <t>METAB (AR);MR (AR);OMIM (AR);OXPHOS (AR)</t>
  </si>
  <si>
    <t>GP1BA</t>
  </si>
  <si>
    <t>BDPLT1|BDPLT3|BSS|CD42B|CD42b-alpha|DBPLT3|GP1B|GPIbA|GPIbalpha|VWDP</t>
  </si>
  <si>
    <t>BMF (AD,AR);HEMOS (AD,AR);OMIM (AR;AD,AR);PCS (AR)</t>
  </si>
  <si>
    <t>GP1BB</t>
  </si>
  <si>
    <t>BDPLT1|BS|CD42C|GPIBB|GPIbbeta</t>
  </si>
  <si>
    <t>BMF (AR);HEMOS (AR);OMIM (AR);PCS (AR)</t>
  </si>
  <si>
    <t>GP6</t>
  </si>
  <si>
    <t>BDPLT11|GPIV|GPVI</t>
  </si>
  <si>
    <t>GP9</t>
  </si>
  <si>
    <t>CD42a|GPIX</t>
  </si>
  <si>
    <t>GPAA1</t>
  </si>
  <si>
    <t>GAA1|GPIBD15|hGAA1</t>
  </si>
  <si>
    <t>GPC3</t>
  </si>
  <si>
    <t>DGSX|GTR2-2|MXR7|OCI-5|SDYS|SGB|SGBS|SGBS1</t>
  </si>
  <si>
    <t>EPI (XL);LENGTE (XLR);MR (XL);OMIM (XL;XLR);SCHISIS (XLR);TUMOR (XLR)</t>
  </si>
  <si>
    <t>GPC4</t>
  </si>
  <si>
    <t>K-glypican|KPTS</t>
  </si>
  <si>
    <t>GPC6</t>
  </si>
  <si>
    <t>OMIMD1</t>
  </si>
  <si>
    <t>GPD1</t>
  </si>
  <si>
    <t>GPD-C|GPDH-C|HTGTI</t>
  </si>
  <si>
    <t>GPD1L</t>
  </si>
  <si>
    <t>GPD1-L</t>
  </si>
  <si>
    <t>HART (AD);METAB (AR);OMIM (AD;UK,AR,AD,XL)</t>
  </si>
  <si>
    <t>GPHN</t>
  </si>
  <si>
    <t>GEPH|GPH|GPHRYN|HKPX1|MOCODC</t>
  </si>
  <si>
    <t>EPI (AR);METAB (AR);MR (AD);OMIM (AR;AD);PCS (AR)</t>
  </si>
  <si>
    <t>GPI</t>
  </si>
  <si>
    <t>AMF|GNPI|NLK|PGI|PHI|SA-36|SA36</t>
  </si>
  <si>
    <t>GPIHBP1</t>
  </si>
  <si>
    <t>GPI-HBP1|HYPL1D</t>
  </si>
  <si>
    <t>GPNMB</t>
  </si>
  <si>
    <t>HGFIN|NMB|PLCA3</t>
  </si>
  <si>
    <t>DERM (AD,AR);OMIM (AR;AD,AR);PCS (AR)</t>
  </si>
  <si>
    <t>GPR101</t>
  </si>
  <si>
    <t>GPCR6|PAGH2|PITA2</t>
  </si>
  <si>
    <t>GPR143</t>
  </si>
  <si>
    <t>NYS6|OA1</t>
  </si>
  <si>
    <t>BEWEGING (XL);BLIND (XL);DERM (XL);OMIM (XL)</t>
  </si>
  <si>
    <t>GPR161</t>
  </si>
  <si>
    <t>RE2</t>
  </si>
  <si>
    <t>LENGTE (AR);OMIM (AD;AR);SHHM (AD);TUMOR (AD)</t>
  </si>
  <si>
    <t>GPR179</t>
  </si>
  <si>
    <t>CSNB1E|GPR158L|GPR158L1</t>
  </si>
  <si>
    <t>GPR68</t>
  </si>
  <si>
    <t>AI2A6|GPR12A|OGR1</t>
  </si>
  <si>
    <t>GPR88</t>
  </si>
  <si>
    <t>COCPMR|STRG</t>
  </si>
  <si>
    <t>GPRASP2</t>
  </si>
  <si>
    <t>DFNX7|GASP2</t>
  </si>
  <si>
    <t>GPSM2</t>
  </si>
  <si>
    <t>CMCS|DFNB82|LGN|PINS</t>
  </si>
  <si>
    <t>DOOF (AR);MR (AR);OMIM (AR);PCS (AR)</t>
  </si>
  <si>
    <t>GPT2</t>
  </si>
  <si>
    <t>ALT2|GPT 2|MRT49|NEDSPM</t>
  </si>
  <si>
    <t>GPX1</t>
  </si>
  <si>
    <t>GPXD|GSHPX1</t>
  </si>
  <si>
    <t>GPX4</t>
  </si>
  <si>
    <t>GPx-4|GSHPx-4|MCSP|PHGPx|SMDS|snGPx|snPHGPx</t>
  </si>
  <si>
    <t>GRAP</t>
  </si>
  <si>
    <t>DFNB114</t>
  </si>
  <si>
    <t>GREB1L</t>
  </si>
  <si>
    <t>C18orf6|KIAA1772|RHDA3</t>
  </si>
  <si>
    <t>GREM1</t>
  </si>
  <si>
    <t>C15DUPq|CKTSF1B1|CRAC1|CRCS4|DAND2|DRM|DUP15q|GREMLIN|HMPS|HMPS1|IHG-2|MPSH|PIG2</t>
  </si>
  <si>
    <t>OMIM (AD,AR);TUMOR (AD,AR)</t>
  </si>
  <si>
    <t>GREM2</t>
  </si>
  <si>
    <t>CKTSF1B2|DAND3|PRDC|STHAG9</t>
  </si>
  <si>
    <t>GRHL2</t>
  </si>
  <si>
    <t>BOM|DFNA28|ECTDS|PPCD4|TFCP2L3</t>
  </si>
  <si>
    <t>BLIND (AD);BMF (AR);DERM (AD,AR);DKC (AR);DOOF (AD);IMMUUN (AR);OMIM (AR;AD,AR);TUMOR (AR)</t>
  </si>
  <si>
    <t>GRHL3</t>
  </si>
  <si>
    <t>SOM|TFCP2L4|VWS2</t>
  </si>
  <si>
    <t>CFA (AD);DERM (AD);OMIM (AD);SCHISIS (AD)</t>
  </si>
  <si>
    <t>GRHPR</t>
  </si>
  <si>
    <t>GLXR|GLYD|PH2</t>
  </si>
  <si>
    <t>GRIA3</t>
  </si>
  <si>
    <t>GLUR-C|GLUR-K3|GLUR3|GLURC|GluA3|MRX94|MRXSW</t>
  </si>
  <si>
    <t>GRIA4</t>
  </si>
  <si>
    <t>GLUR4|GLUR4C|GLURD|GluA4|NEDSGA</t>
  </si>
  <si>
    <t>GRID2</t>
  </si>
  <si>
    <t>GluD2|SCAR18</t>
  </si>
  <si>
    <t>BEWEGING (AD,AR);MR (AR);OMIM (AR;AD,AR);PCS (AR)</t>
  </si>
  <si>
    <t>GRIK2</t>
  </si>
  <si>
    <t>EAA4|GLR6|GLUK6|GLUR6|GluK2|MRT6</t>
  </si>
  <si>
    <t>GRIN1</t>
  </si>
  <si>
    <t>GluN1|MRD8|NDHMSD|NDHMSR|NMD-R1|NMDA1|NMDAR1|NR1</t>
  </si>
  <si>
    <t>BEWEGING (AD);EPI (AD);MR (AD);OMIM (AD;AD,AR);PCS (AR);SPIER (AD,AR)</t>
  </si>
  <si>
    <t>GRIN2A</t>
  </si>
  <si>
    <t>EPND|FESD|GluN2A|LKS|NMDAR2A|NR2A</t>
  </si>
  <si>
    <t>GRIN2B</t>
  </si>
  <si>
    <t>DEE27|EIEE27|GluN2B|MRD6|NMDAR2B|NR2B|NR3|hNR3</t>
  </si>
  <si>
    <t>GRIN2D</t>
  </si>
  <si>
    <t>DEE46|EB11|EIEE46|GluN2D|NMDAR2D|NR2D</t>
  </si>
  <si>
    <t>GRIP1</t>
  </si>
  <si>
    <t>FRASRS3|GRIP</t>
  </si>
  <si>
    <t>DSD (AR);MR (AR);NIER (AR);OMIM (AR);PCS (AR)</t>
  </si>
  <si>
    <t>GRK1</t>
  </si>
  <si>
    <t>GPRK1|RHOK|RK</t>
  </si>
  <si>
    <t>GRM1</t>
  </si>
  <si>
    <t>GPRC1A|MGLU1|MGLUR1|PPP1R85|SCA44|SCAR13</t>
  </si>
  <si>
    <t>GRM6</t>
  </si>
  <si>
    <t>CSNB1B|GPRC1F|MGLUR6|mGlu6</t>
  </si>
  <si>
    <t>GRN</t>
  </si>
  <si>
    <t>CLN11|GEP|GP88|PCDGF|PEPI|PGRN</t>
  </si>
  <si>
    <t>EPI (AR);MR (AD);OMIM (AD;AR;AD,AR);PARK (AD);PCS (AR)</t>
  </si>
  <si>
    <t>GRXCR1</t>
  </si>
  <si>
    <t>DFNB25|PPP1R88</t>
  </si>
  <si>
    <t>GRXCR2</t>
  </si>
  <si>
    <t>DFNB101</t>
  </si>
  <si>
    <t>GSC</t>
  </si>
  <si>
    <t>SAMS</t>
  </si>
  <si>
    <t>CFA (AR);LENGTE (AR);OMIM (AR);PCS (AR)</t>
  </si>
  <si>
    <t>GSDME</t>
  </si>
  <si>
    <t>DFNA5|ICERE-1</t>
  </si>
  <si>
    <t>GSE1</t>
  </si>
  <si>
    <t>CRHSP24|KIAA0182</t>
  </si>
  <si>
    <t>GSN</t>
  </si>
  <si>
    <t>ADF|AGEL</t>
  </si>
  <si>
    <t>BLIND (AD);DERM (AD);HMSN (AD);NIER (AD);OMIM (AD)</t>
  </si>
  <si>
    <t>GSS</t>
  </si>
  <si>
    <t>GSHS|HEL-S-64p|HEL-S-88n</t>
  </si>
  <si>
    <t>GSX2</t>
  </si>
  <si>
    <t>DMJDS2|GSH2</t>
  </si>
  <si>
    <t>GTF2E2</t>
  </si>
  <si>
    <t>FE|TF2E2|TFIIE-B|TTD6</t>
  </si>
  <si>
    <t>GTF2H5</t>
  </si>
  <si>
    <t>C6orf175|TFB5|TFIIH|TGF2H5|TTD|TTD-A|TTD3|TTDA|bA120J8.2</t>
  </si>
  <si>
    <t>DERM (AR);IMMUUN (AR);MR (AR);OMIM (AR;UK,AR,AD,XL);PCS (AR)</t>
  </si>
  <si>
    <t>GTPBP2</t>
  </si>
  <si>
    <t>JABELS</t>
  </si>
  <si>
    <t>GTPBP3</t>
  </si>
  <si>
    <t>COXPD23|GTPBG3|MSS1|MTGP1|THDF1</t>
  </si>
  <si>
    <t>GUCA1A</t>
  </si>
  <si>
    <t>C6orf131|COD3|CORD14|GCAP|GCAP1|GUCA|GUCA1</t>
  </si>
  <si>
    <t>GUCA1B</t>
  </si>
  <si>
    <t>GCAP 2|GCAP2|GUCA2|RP48</t>
  </si>
  <si>
    <t>GUCY1A1</t>
  </si>
  <si>
    <t>GC-S-alpha-1|GC-SA3|GCS-alpha-3|GUC1A3|GUCA3|GUCSA3|GUCY1A3|MYMY6</t>
  </si>
  <si>
    <t>GUCY2C</t>
  </si>
  <si>
    <t>DIAR6|GC-C|GUC2C|MECIL|MUCIL|STAR</t>
  </si>
  <si>
    <t>GUCY2D</t>
  </si>
  <si>
    <t>CACD1|CG-E|CORD5|CORD6|CSNB1I|CYGD|GUC1A4|GUC2D|LCA|LCA1|RCD2|RETGC-1|ROS-GC1|ROSGC|retGC</t>
  </si>
  <si>
    <t>BLIND (AD,AR);OMIM (AD,AR);PCS (AR)</t>
  </si>
  <si>
    <t>GUF1</t>
  </si>
  <si>
    <t>DEE40|EF-4|EF4|EIEE40</t>
  </si>
  <si>
    <t>GUSB</t>
  </si>
  <si>
    <t>BG|MPS7</t>
  </si>
  <si>
    <t>GYG1</t>
  </si>
  <si>
    <t>GSD15|GYG</t>
  </si>
  <si>
    <t>GYS1</t>
  </si>
  <si>
    <t>GSY|GYS</t>
  </si>
  <si>
    <t>GYS2</t>
  </si>
  <si>
    <t>GZF1</t>
  </si>
  <si>
    <t>JLSM|ZBTB23|ZNF336</t>
  </si>
  <si>
    <t>H1-4</t>
  </si>
  <si>
    <t>H1.4|H1E|H1F4|H1s-4|HIST1H1E|RMNS|dJ221C16.5</t>
  </si>
  <si>
    <t>H19</t>
  </si>
  <si>
    <t>ASM|ASM1|BWS|D11S813E|LINC00008|MIR675HG|NCRNA00008|WT2</t>
  </si>
  <si>
    <t>H4C3</t>
  </si>
  <si>
    <t>H4-16|H4/g|H4C1|H4C11|H4C12|H4C13|H4C14|H4C15|H4C2|H4C4|H4C5|H4C6|H4C8|H4C9|H4FG|HIST1H4C|dJ221C16.1</t>
  </si>
  <si>
    <t>H6PD</t>
  </si>
  <si>
    <t>CORTRD1|G6PDH|GDH|H6PDH</t>
  </si>
  <si>
    <t>HAAO</t>
  </si>
  <si>
    <t>3-HAO|HAO|VCRL1|h3HAO</t>
  </si>
  <si>
    <t>HABP2</t>
  </si>
  <si>
    <t>FSAP|HABP|HGFAL|NMTC5|PHBP</t>
  </si>
  <si>
    <t>HACE1</t>
  </si>
  <si>
    <t>SPPRS</t>
  </si>
  <si>
    <t>HADH</t>
  </si>
  <si>
    <t>HAD|HADH1|HADHSC|HCDH|HHF4|MSCHAD|SCHAD</t>
  </si>
  <si>
    <t>HADHA</t>
  </si>
  <si>
    <t>ECHA|GBP|HADH|LCEH|LCHAD|MTPA|TP-ALPHA</t>
  </si>
  <si>
    <t>HART (AR);HMSN (AR);LEVER (AR);METAB (AR);MR (AR);OMIM (AR);OXPHOS (AR);PCS (AR)</t>
  </si>
  <si>
    <t>HADHB</t>
  </si>
  <si>
    <t>ECHB|MSTP029|MTPB|TP-BETA</t>
  </si>
  <si>
    <t>HART (AR);HMSN (AR);METAB (AR);OMIM (AR);OXPHOS (AR);PCS (AR)</t>
  </si>
  <si>
    <t>HAGH</t>
  </si>
  <si>
    <t>GLO2|GLX2|GLXII|HAGH1</t>
  </si>
  <si>
    <t>HAMP</t>
  </si>
  <si>
    <t>HEPC|HFE2B|LEAP1|PLTR</t>
  </si>
  <si>
    <t>IJZER (AR);LEVER (AR);OMIM (AR);PCS (AR)</t>
  </si>
  <si>
    <t>HAND1</t>
  </si>
  <si>
    <t>Hxt|Thing1|bHLHa27|eHand</t>
  </si>
  <si>
    <t>HAND2</t>
  </si>
  <si>
    <t>DHAND2|Hed|Thing2|bHLHa26|dHand</t>
  </si>
  <si>
    <t>HARS1</t>
  </si>
  <si>
    <t>CMT2W|HARS|HRS|USH3B</t>
  </si>
  <si>
    <t>BLIND (AR);DOOF (AR);HMSN (AD,AR);OMIM (AD,AR);PCS (AR)</t>
  </si>
  <si>
    <t>HARS2</t>
  </si>
  <si>
    <t>HARSL|HARSR|HO3|HisRS|PRLTS2</t>
  </si>
  <si>
    <t>HAVCR2</t>
  </si>
  <si>
    <t>CD366|HAVcr-2|KIM-3|SPTCL|TIM3|TIMD-3|TIMD3|Tim-3</t>
  </si>
  <si>
    <t>BMF (AR);IMMUUN (AR);OMIM (AR);PCS (AR);TUMOR (AR)</t>
  </si>
  <si>
    <t>HAX1</t>
  </si>
  <si>
    <t>HCLSBP1|HS1BP1|SCN3</t>
  </si>
  <si>
    <t>BMF (AR);IMMUUN (AR);MR (AR);OMIM (AR);PCS (AR);TUMOR (AR)</t>
  </si>
  <si>
    <t>HBA1</t>
  </si>
  <si>
    <t>ECYT7|HBA-T3|HBH|METHBA</t>
  </si>
  <si>
    <t>HBA2</t>
  </si>
  <si>
    <t>ECYT7|HBA-T2|HBH</t>
  </si>
  <si>
    <t>HBB</t>
  </si>
  <si>
    <t>CD113t-C|ECYT6|beta-globin</t>
  </si>
  <si>
    <t>HBD</t>
  </si>
  <si>
    <t>HBG1</t>
  </si>
  <si>
    <t>HBG-T2|HBGA|HBGR|HSGGL1|PRO2979</t>
  </si>
  <si>
    <t>HBG2</t>
  </si>
  <si>
    <t>HBG-T1|TNCY</t>
  </si>
  <si>
    <t>HCCS</t>
  </si>
  <si>
    <t>CCHL|LSDMCA1|MCOPS7|MLS</t>
  </si>
  <si>
    <t>BLIND (XL);DERM (XL);MR (XL);OMIM (XL);OXPHOS (XL)</t>
  </si>
  <si>
    <t>HCFC1</t>
  </si>
  <si>
    <t>CFF|HCF|HCF-1|HCF1|HFC1|MRX3|PPP1R89|VCAF</t>
  </si>
  <si>
    <t>HCN1</t>
  </si>
  <si>
    <t>BCNG-1|BCNG1|DEE24|EIEE24|GEFSP10|HAC-2</t>
  </si>
  <si>
    <t>EPI (AD);HNPD (AD);MR (AD);OMIM (AD)</t>
  </si>
  <si>
    <t>HCN2</t>
  </si>
  <si>
    <t>BCNG-2|BCNG2|HAC-1</t>
  </si>
  <si>
    <t>HART (AD);HNPD (AD);OMIM (AD)</t>
  </si>
  <si>
    <t>HCN3</t>
  </si>
  <si>
    <t>HCN4</t>
  </si>
  <si>
    <t>SSS2</t>
  </si>
  <si>
    <t>HCRT</t>
  </si>
  <si>
    <t>NRCLP1|OX|PPOX</t>
  </si>
  <si>
    <t>HDAC4</t>
  </si>
  <si>
    <t>AHO3|BDMR|HA6116|HD4|HDAC-4|HDAC-A|HDACA</t>
  </si>
  <si>
    <t>HDAC6</t>
  </si>
  <si>
    <t>CPBHM|HD6|JM21|PPP1R90</t>
  </si>
  <si>
    <t>HDAC8</t>
  </si>
  <si>
    <t>CDA07|CDLS5|HD8|HDACL1|KDAC8|MRXS6|RPD3|WTS</t>
  </si>
  <si>
    <t>DERM (XL);LENGTE (XL);MR (XL);OMIM (XL);SCHISIS (XL)</t>
  </si>
  <si>
    <t>HECW2</t>
  </si>
  <si>
    <t>NDHSAL|NEDL2</t>
  </si>
  <si>
    <t>HELLS</t>
  </si>
  <si>
    <t>ICF4|LSH|Nbla10143|PASG|SMARCA6</t>
  </si>
  <si>
    <t>HEPACAM</t>
  </si>
  <si>
    <t>GlialCAM|HEPN1|MLC2A|MLC2B</t>
  </si>
  <si>
    <t>MR (AD,AR);OMIM (AD,AR);PCS (AR)</t>
  </si>
  <si>
    <t>HEPH</t>
  </si>
  <si>
    <t>CPL</t>
  </si>
  <si>
    <t>IJZER (XL);OMIM (XL)</t>
  </si>
  <si>
    <t>HEPHL1</t>
  </si>
  <si>
    <t>HJDD|ZP</t>
  </si>
  <si>
    <t>HERC1</t>
  </si>
  <si>
    <t>MDFPMR|p532|p619</t>
  </si>
  <si>
    <t>HERC2</t>
  </si>
  <si>
    <t>D15F37S1|MRT38|SHEP1|jdf2|p528</t>
  </si>
  <si>
    <t>HES7</t>
  </si>
  <si>
    <t>SCDO4|bHLHb37</t>
  </si>
  <si>
    <t>HESX1</t>
  </si>
  <si>
    <t>ANF|CPHD5|RPX</t>
  </si>
  <si>
    <t>DSD (AD,AR);HH (AD,AR);LENGTE (AD,AR);MR (AR);OMIM (AR;AD,AR);PCS (AR)</t>
  </si>
  <si>
    <t>HEXA</t>
  </si>
  <si>
    <t>TSD</t>
  </si>
  <si>
    <t>HEXB</t>
  </si>
  <si>
    <t>ENC-1AS|HEL-248|HEL-S-111</t>
  </si>
  <si>
    <t>HEY2</t>
  </si>
  <si>
    <t>CHF1|GRIDLOCK|GRL|HERP1|HESR2|HRT2|bHLHb32</t>
  </si>
  <si>
    <t>ANEURYSM (AD);CHD (AD);HART (AD);OMIM (AD)</t>
  </si>
  <si>
    <t>HFE</t>
  </si>
  <si>
    <t>HFE1|HH|HLA-H|MVCD7|TFQTL2</t>
  </si>
  <si>
    <t>HART (AR);IJZER (AR);LEVER (AR);METAB (AR);OMIM (AR)</t>
  </si>
  <si>
    <t>HFM1</t>
  </si>
  <si>
    <t>MER3|POF9|SEC63D1|Si-11|Si-11-6|helicase</t>
  </si>
  <si>
    <t>HGD</t>
  </si>
  <si>
    <t>AKU|HGO</t>
  </si>
  <si>
    <t>HGF</t>
  </si>
  <si>
    <t>DFNB39|F-TCF|HGFB|HPTA|SF</t>
  </si>
  <si>
    <t>HGSNAT</t>
  </si>
  <si>
    <t>HGNAT|MPS3C|RP73|TMEM76</t>
  </si>
  <si>
    <t>HIBADH</t>
  </si>
  <si>
    <t>NS5ATP1</t>
  </si>
  <si>
    <t>HIBCH</t>
  </si>
  <si>
    <t>HIBYLCOAH</t>
  </si>
  <si>
    <t>HIKESHI</t>
  </si>
  <si>
    <t>C11orf73|HLD13|HSPC138|HSPC179|L7RN6|OPI10</t>
  </si>
  <si>
    <t>HINT1</t>
  </si>
  <si>
    <t>HINT|NMAN|PKCI-1|PRKCNH1</t>
  </si>
  <si>
    <t>HIVEP2</t>
  </si>
  <si>
    <t>HIV-EP2|MBP-2|MIBP1|MRD43|SHN2|ZAS2|ZNF40B</t>
  </si>
  <si>
    <t>HJV</t>
  </si>
  <si>
    <t>HFE2|HFE2A|JH|RGMC</t>
  </si>
  <si>
    <t>HART (AR);IJZER (AR);OMIM (AR);PCS (AR)</t>
  </si>
  <si>
    <t>HK1</t>
  </si>
  <si>
    <t>HK|HK1-ta|HK1-tb|HK1-tc|HKD|HKI|HMSNR|HXK1|NEDVIBA|RP79|hexokinase</t>
  </si>
  <si>
    <t>BEWEGING (AD);BLIND (AD);HMSN (AR);METAB (AR);MR (AD);OMIM (AD;AR;AD,AR);PCS (AR)</t>
  </si>
  <si>
    <t>HLCS</t>
  </si>
  <si>
    <t>HCS</t>
  </si>
  <si>
    <t>DERM (AR);EPI (AR);METAB (AR);MR (AR);OMIM (AR);OXPHOS (AR);PCS (AR)</t>
  </si>
  <si>
    <t>HMBS</t>
  </si>
  <si>
    <t>PBG-D|PBGD|PORC|UPS</t>
  </si>
  <si>
    <t>DERM (AD,AR);HMSN (AD);METAB (AR);OMIM (AR;AD;AD,AR)</t>
  </si>
  <si>
    <t>HMGA2</t>
  </si>
  <si>
    <t>BABL|HMGI-C|HMGIC|LIPO|SRS5|STQTL9</t>
  </si>
  <si>
    <t>HMGB3</t>
  </si>
  <si>
    <t>HMG-2a|HMG-4|HMG2A|HMG4</t>
  </si>
  <si>
    <t>DERM (XL);OMIM (XL)</t>
  </si>
  <si>
    <t>HMGCL</t>
  </si>
  <si>
    <t>HL</t>
  </si>
  <si>
    <t>HMGCS2</t>
  </si>
  <si>
    <t>HMOX1</t>
  </si>
  <si>
    <t>HMOX1D|HO-1|HSP32|bK286B10</t>
  </si>
  <si>
    <t>ANEURYSM (AD);IJZER (AR);IMMUUN (AR);METAB (AR);OMIM (UK,AR,AD,XL);PCS (AR)</t>
  </si>
  <si>
    <t>HMX1</t>
  </si>
  <si>
    <t>H6|NKX5-3</t>
  </si>
  <si>
    <t>HNF1A</t>
  </si>
  <si>
    <t>HNF-1A|HNF1|HNF1alpha|HNF4A|IDDM20|LFB1|MODY3|TCF-1|TCF1</t>
  </si>
  <si>
    <t>METAB (AD);OMIM (AD);TUMOR (AD)</t>
  </si>
  <si>
    <t>HNF1B</t>
  </si>
  <si>
    <t>ADTKD3|FJHN|HNF-1-beta|HNF-1B|HNF1beta|HNF2|HPC11|LF-B3|LFB3|MODY5|RCAD|T2D|TCF-2|TCF2|VHNF1</t>
  </si>
  <si>
    <t>HNF4A</t>
  </si>
  <si>
    <t>FRTS4|HNF4|HNF4a7|HNF4a8|HNF4a9|HNF4alpha|MODY|MODY1|NR2A1|NR2A21|TCF|TCF14</t>
  </si>
  <si>
    <t>METAB (AD);NIER (AD);OMIM (AD)</t>
  </si>
  <si>
    <t>HNMT</t>
  </si>
  <si>
    <t>HMT|HNMT-S1|HNMT-S2|MRT51</t>
  </si>
  <si>
    <t>HNRNPA1</t>
  </si>
  <si>
    <t>ALS19|ALS20|HNRPA1|HNRPA1L3|IBMPFD3|UP 1|hnRNP A1|hnRNP-A1</t>
  </si>
  <si>
    <t>HNRNPA2B1</t>
  </si>
  <si>
    <t>HNRNPA2|HNRNPB1|HNRPA2|HNRPA2B1|HNRPB1|IBMPFD2|RNPA2|SNRPB1</t>
  </si>
  <si>
    <t>HNRNPDL</t>
  </si>
  <si>
    <t>HNRNP|HNRPDL|JKTBP|JKTBP2|LGMD1G|LGMDD3|laAUF1</t>
  </si>
  <si>
    <t>HNRNPH1</t>
  </si>
  <si>
    <t>HNRPH|HNRPH1|hnRNPH</t>
  </si>
  <si>
    <t>HNRNPH2</t>
  </si>
  <si>
    <t>FTP3|HNRPH'|HNRPH2|MRXSB|NRPH2|hnRNPH'</t>
  </si>
  <si>
    <t>HNRNPK</t>
  </si>
  <si>
    <t>AUKS|CSBP|HNRPK|TUNP</t>
  </si>
  <si>
    <t>HNRNPU</t>
  </si>
  <si>
    <t>DEE54|EIEE54|GRIP120|HNRNPU-AS1|HNRPU|SAF-A|SAFA|U21.1|hnRNP U|pp120</t>
  </si>
  <si>
    <t>HOGA1</t>
  </si>
  <si>
    <t>C10orf65|DHDPS2|DHDPSL|HP3|NPL2</t>
  </si>
  <si>
    <t>METAB (AR);NIER (AR);OMIM (AR;UK,AR,AD,XL);PCS (AR)</t>
  </si>
  <si>
    <t>HOMER2</t>
  </si>
  <si>
    <t>ACPD|CPD|DFNA68|HOMER-2|VESL-2</t>
  </si>
  <si>
    <t>HOOK1</t>
  </si>
  <si>
    <t>HOXA1</t>
  </si>
  <si>
    <t>BSAS|HOX1|HOX1F</t>
  </si>
  <si>
    <t>MR (AR);OMIM (AR;UK,AR,AD,XL);PCS (AR)</t>
  </si>
  <si>
    <t>HOXA11</t>
  </si>
  <si>
    <t>HOX1|HOX1I|RUSAT1</t>
  </si>
  <si>
    <t>BMF (AD);HEMOS (AD);LENGTE (AD);OMIM (AD)</t>
  </si>
  <si>
    <t>HOXA13</t>
  </si>
  <si>
    <t>HOX1|HOX1J</t>
  </si>
  <si>
    <t>HOXA2</t>
  </si>
  <si>
    <t>HOX1K|MCOHI</t>
  </si>
  <si>
    <t>CFA (AD);OMIM (AD,AR);PCS (AR)</t>
  </si>
  <si>
    <t>HOXA4</t>
  </si>
  <si>
    <t>HOX1|HOX1D</t>
  </si>
  <si>
    <t>HOXB1</t>
  </si>
  <si>
    <t>HCFP3|HOX2|HOX2I|Hox-2.9</t>
  </si>
  <si>
    <t>HOXB13</t>
  </si>
  <si>
    <t>HPC9|PSGD</t>
  </si>
  <si>
    <t>HOXB4</t>
  </si>
  <si>
    <t>HOX-2.6|HOX2|HOX2F</t>
  </si>
  <si>
    <t>HOXC13</t>
  </si>
  <si>
    <t>ECTD9|HOX3|HOX3G</t>
  </si>
  <si>
    <t>HOXD10</t>
  </si>
  <si>
    <t>HOX4|HOX4D|HOX4E|Hox-4.4</t>
  </si>
  <si>
    <t>HOXD13</t>
  </si>
  <si>
    <t>BDE|BDSD|HOX4I|SPD|SPD1</t>
  </si>
  <si>
    <t>HPCA</t>
  </si>
  <si>
    <t>BDR2|DYT2</t>
  </si>
  <si>
    <t>HPD</t>
  </si>
  <si>
    <t>4-HPPD|4HPPD|GLOD3|HPPDASE|PPD</t>
  </si>
  <si>
    <t>METAB (AR);MR (AD,AR);OMIM (AR;AD,AR);PCS (AR)</t>
  </si>
  <si>
    <t>HPDL</t>
  </si>
  <si>
    <t>4-HPPD-L|GLOXD1|NEDSWMA|SPG83</t>
  </si>
  <si>
    <t>BEWEGING (AR);METAB (AR);OMIM (AR);OXPHOS (AR);PCS (AR)</t>
  </si>
  <si>
    <t>HPGD</t>
  </si>
  <si>
    <t>15-PGDH|PGDH|PGDH1|PHOAR1|SDR36C1</t>
  </si>
  <si>
    <t>HPRT1</t>
  </si>
  <si>
    <t>HGPRT|HPRT</t>
  </si>
  <si>
    <t>BEWEGING (XL);METAB (XL);MR (XL);NIER (XLR);OMIM (XLR)</t>
  </si>
  <si>
    <t>HPS1</t>
  </si>
  <si>
    <t>BLOC3S1|HPS</t>
  </si>
  <si>
    <t>HPS3</t>
  </si>
  <si>
    <t>BLOC2S1|SUTAL</t>
  </si>
  <si>
    <t>HPS4</t>
  </si>
  <si>
    <t>BLOC3S2|LE</t>
  </si>
  <si>
    <t>HPS5</t>
  </si>
  <si>
    <t>AIBP63|BLOC2S2</t>
  </si>
  <si>
    <t>HPS6</t>
  </si>
  <si>
    <t>BLOC2S3</t>
  </si>
  <si>
    <t>HPSE2</t>
  </si>
  <si>
    <t>HPA2|HPR2|UFS|UFS1</t>
  </si>
  <si>
    <t>HR</t>
  </si>
  <si>
    <t>ALUNC|AU|HSA277165|HYPT4|MUHH|MUHH1</t>
  </si>
  <si>
    <t>HRAS</t>
  </si>
  <si>
    <t>C-BAS/HAS|C-H-RAS|C-HA-RAS1|CTLO|H-RASIDX|HAMSV|HRAS1|RASH1|p21ras</t>
  </si>
  <si>
    <t>BLIND (AD);DERM (AD);LENGTE (AD);MR (AD);OMIM (AD);RAS (AD)</t>
  </si>
  <si>
    <t>HRG</t>
  </si>
  <si>
    <t>HPRG|HRGP|THPH11</t>
  </si>
  <si>
    <t>HEMOS (AD,AR);OMIM (AD;AD,AR)</t>
  </si>
  <si>
    <t>HS6ST1</t>
  </si>
  <si>
    <t>HH15|HS6ST</t>
  </si>
  <si>
    <t>DSD (AD);HH (AD);METAB (AR);OMIM (AD;AR)</t>
  </si>
  <si>
    <t>HS6ST2</t>
  </si>
  <si>
    <t>MRXSPM</t>
  </si>
  <si>
    <t>HSCB</t>
  </si>
  <si>
    <t>DNAJC20|HSC20|JAC1</t>
  </si>
  <si>
    <t>HSD11B1</t>
  </si>
  <si>
    <t>11-DH|11-beta-HSD1|CORTRD2|HDL|HSD11|HSD11B|HSD11L|SDR26C1</t>
  </si>
  <si>
    <t>HSD11B2</t>
  </si>
  <si>
    <t>AME|AME1|HSD11K|HSD2|SDR9C3</t>
  </si>
  <si>
    <t>HSD17B10</t>
  </si>
  <si>
    <t>17b-HSD10|ABAD|CAMR|DUPXp11.22|ERAB|HADH2|HCD2|HSD10MD|MHBD|MRPP2|MRX17|MRX31|MRXS10|SCHAD|SDR5C1</t>
  </si>
  <si>
    <t>EPI (AD);METAB (XL);MR (XL);OMIM (XL;AD);OXPHOS (XL)</t>
  </si>
  <si>
    <t>HSD17B3</t>
  </si>
  <si>
    <t>EDH17B3|SDR12C2</t>
  </si>
  <si>
    <t>HSD17B4</t>
  </si>
  <si>
    <t>DBP|MFE-2|MFP-2|MPF-2|PRLTS1|SDR8C1</t>
  </si>
  <si>
    <t>BEWEGING (AR);DOOF (AR);DSD (AR);EPI (AR);HMSN (AR);LEVER (AR);METAB (AR);MR (AR);OMIM (AR);PCS (AR)</t>
  </si>
  <si>
    <t>HSD3B2</t>
  </si>
  <si>
    <t>HSD3B|HSDB|SDR11E2</t>
  </si>
  <si>
    <t>HSD3B7</t>
  </si>
  <si>
    <t>CBAS1|PFIC4|SDR11E3</t>
  </si>
  <si>
    <t>HSF4</t>
  </si>
  <si>
    <t>CTM|CTRCT5</t>
  </si>
  <si>
    <t>HSPA9</t>
  </si>
  <si>
    <t>CRP40|CSA|EVPLS|GRP-75|GRP75|HEL-S-124m|HSPA9B|MOT|MOT2|MTHSP75|PBP74|SAAN|SIDBA4</t>
  </si>
  <si>
    <t>IJZER (AD,AR);LENGTE (AR);MR (AR);OMIM (AD,AR);OXPHOS (AD,AR);PCS (AR)</t>
  </si>
  <si>
    <t>HSPB1</t>
  </si>
  <si>
    <t>CMT2F|HEL-S-102|HMN2B|HS.76067|HSP27|HSP28|Hsp25|SRP27</t>
  </si>
  <si>
    <t>HSPB3</t>
  </si>
  <si>
    <t>DHMN2C|HMN2C|HSPL27</t>
  </si>
  <si>
    <t>HSPB6</t>
  </si>
  <si>
    <t>HEL55|Hsp20|PPP1R91</t>
  </si>
  <si>
    <t>HSPB8</t>
  </si>
  <si>
    <t>CMT2L|DHMN2|E2IG1|H11|HMN2|HMN2A|HSP22</t>
  </si>
  <si>
    <t>HSPD1</t>
  </si>
  <si>
    <t>CPN60|GROEL|HLD4|HSP-60|HSP60|HSP65|HuCHA60|SPG13</t>
  </si>
  <si>
    <t>BEWEGING (AD);MR (AD);OMIM (AD,AR);OXPHOS (AR);PCS (AR)</t>
  </si>
  <si>
    <t>HSPG2</t>
  </si>
  <si>
    <t>HSPG|PLC|PRCAN|SJA|SJS|SJS1</t>
  </si>
  <si>
    <t>ANEURYSM (AD);BLIND (AR);LENGTE (AR);OMIM (AR;AD);PCS (AR);SPIER (AR)</t>
  </si>
  <si>
    <t>HTR1A</t>
  </si>
  <si>
    <t>5-HT-1A|5-HT1A|5HT1a|ADRB2RL1|ADRBRL1|G-21|PFMCD</t>
  </si>
  <si>
    <t>HTRA1</t>
  </si>
  <si>
    <t>ARMD7|CADASIL2|CARASIL|HtrA|L56|ORF480|PRSS11</t>
  </si>
  <si>
    <t>DERM (AR);OMIM (AR;AD,AR);PCS (AR)</t>
  </si>
  <si>
    <t>HTRA2</t>
  </si>
  <si>
    <t>MGCA8|OMI|PARK13|PRSS25</t>
  </si>
  <si>
    <t>HTT</t>
  </si>
  <si>
    <t>HD|IT15|LOMARS</t>
  </si>
  <si>
    <t>OMIM (AD,AR)</t>
  </si>
  <si>
    <t>HUWE1</t>
  </si>
  <si>
    <t>ARF-BP1|HECTH9|HSPC272|Ib772|LASU1|MRXST|MULE|URE-B1|UREB1</t>
  </si>
  <si>
    <t>CFA (XL);MR (XL);OMIM (XL)</t>
  </si>
  <si>
    <t>HYAL1</t>
  </si>
  <si>
    <t>HYAL-1|LUCA1|MPS9|NAT6</t>
  </si>
  <si>
    <t>HYAL2</t>
  </si>
  <si>
    <t>LUCA2</t>
  </si>
  <si>
    <t>HYDIN</t>
  </si>
  <si>
    <t>CILD5|HYDIN1|HYDIN2|PPP1R31</t>
  </si>
  <si>
    <t>HYLS1</t>
  </si>
  <si>
    <t>HLS</t>
  </si>
  <si>
    <t>CILIO (AR);LENGTE (AR);MR (AR);OMIM (AR);PCS (AR);SCHISIS (AR)</t>
  </si>
  <si>
    <t>HYOU1</t>
  </si>
  <si>
    <t>GRP-170|Grp170|HSP12A|IMD59|ORP-150|ORP150</t>
  </si>
  <si>
    <t>IARS1</t>
  </si>
  <si>
    <t>GRIDHH|IARS|ILERS|ILRS|IRS|PRO0785</t>
  </si>
  <si>
    <t>LEVER (AR);MR (AR);OMIM (AR);PCS (AR)</t>
  </si>
  <si>
    <t>IARS2</t>
  </si>
  <si>
    <t>CAGSSS|ILERS</t>
  </si>
  <si>
    <t>LENGTE (AR);MR (AR);OMIM (AR);OXPHOS (AR);PCS (AR)</t>
  </si>
  <si>
    <t>IBA57</t>
  </si>
  <si>
    <t>C1orf69|MMDS3|SPG74</t>
  </si>
  <si>
    <t>ICOS</t>
  </si>
  <si>
    <t>AILIM|CD278|CVID1</t>
  </si>
  <si>
    <t>ICOSLG</t>
  </si>
  <si>
    <t>B7-H2|B7H2|B7RP-1|B7RP1|B7h|CD275|GL50|ICOS-L|ICOSL|LICOS</t>
  </si>
  <si>
    <t>ID4</t>
  </si>
  <si>
    <t>IDB4|bHLHb27</t>
  </si>
  <si>
    <t>IDH1</t>
  </si>
  <si>
    <t>HEL-216|HEL-S-26|IDCD|IDH|IDP|IDPC|PICD</t>
  </si>
  <si>
    <t>IDH2</t>
  </si>
  <si>
    <t>D2HGA2|ICD-M|IDH|IDHM|IDP|IDPM|mNADP-IDH</t>
  </si>
  <si>
    <t>EPI (AD);LENGTE (AD);METAB (AR);OMIM (AD;UK,AR,AD,XL);TUMOR (AD)</t>
  </si>
  <si>
    <t>IDH3A</t>
  </si>
  <si>
    <t>RP90</t>
  </si>
  <si>
    <t>IDH3B</t>
  </si>
  <si>
    <t>RP46</t>
  </si>
  <si>
    <t>IDI1</t>
  </si>
  <si>
    <t>IPP1|IPPI1</t>
  </si>
  <si>
    <t>IDS</t>
  </si>
  <si>
    <t>ID2S|MPS2|SIDS</t>
  </si>
  <si>
    <t>LENGTE (XLR);METAB (XL);MR (XL);OMIM (XL;XLR)</t>
  </si>
  <si>
    <t>IDUA</t>
  </si>
  <si>
    <t>IDA|MPS1|MPSI</t>
  </si>
  <si>
    <t>ANEURYSM (AR);DERM (AR);HART (AR);LENGTE (AR);METAB (AR);MR (AR);OMIM (AR);PCS (AR)</t>
  </si>
  <si>
    <t>IER3IP1</t>
  </si>
  <si>
    <t>HSPC039|MEDS|PRO2309</t>
  </si>
  <si>
    <t>IFIH1</t>
  </si>
  <si>
    <t>AGS7|Hlcd|IDDM19|MDA-5|MDA5|RLR-2|SGMRT1</t>
  </si>
  <si>
    <t>EPI (AD);IMMUUN (AD,AR);LENGTE (AR);MR (AD);OMIM (AD;AR;AD,AR)</t>
  </si>
  <si>
    <t>IFITM5</t>
  </si>
  <si>
    <t>BRIL|DSPA1|Hrmp1|OI5|fragilis4</t>
  </si>
  <si>
    <t>IFNAR1</t>
  </si>
  <si>
    <t>AVP|IFN-alpha-REC|IFNAR|IFNBR|IFRC</t>
  </si>
  <si>
    <t>IFNAR2</t>
  </si>
  <si>
    <t>IFN-R|IFN-alpha-REC|IFNABR|IFNARB|IMD45</t>
  </si>
  <si>
    <t>IFNG</t>
  </si>
  <si>
    <t>IFG|IFI|IMD69</t>
  </si>
  <si>
    <t>ANEURYSM (AD);IMMUUN (AR);NIER (AD);OMIM (AD;AR)</t>
  </si>
  <si>
    <t>IFNGR1</t>
  </si>
  <si>
    <t>CD119|IFNGR|IMD27A|IMD27B</t>
  </si>
  <si>
    <t>IMMUUN (AD,AR);OMIM (AD,AR);PCS (AR)</t>
  </si>
  <si>
    <t>IFNGR2</t>
  </si>
  <si>
    <t>AF-1|IFGR2|IFNGT1|IMD28</t>
  </si>
  <si>
    <t>IFNLR1</t>
  </si>
  <si>
    <t>CRF2/12|IFNLR|IL-28R1|IL28RA|LICR2</t>
  </si>
  <si>
    <t>IFRD1</t>
  </si>
  <si>
    <t>PC4|TIS7</t>
  </si>
  <si>
    <t>HMSN (UK,AR,AD,XL);OMIM (UK,AR,AD,XL)</t>
  </si>
  <si>
    <t>IFT122</t>
  </si>
  <si>
    <t>CED|CED1|FAP80|SPG|WDR10|WDR10p|WDR140</t>
  </si>
  <si>
    <t>CFA (AR);CILIO (AR);DERM (AR);LENGTE (AR);NIER (AR);OMIM (AR);PCS (AR)</t>
  </si>
  <si>
    <t>IFT140</t>
  </si>
  <si>
    <t>MZSDS|RP80|SRTD9|WDTC2|c305C8.4|c380F5.1|gs114</t>
  </si>
  <si>
    <t>BLIND (AR);CILIO (AR);LENGTE (AR);LEVER (AR);NIER (AR);OMIM (AR);PCS (AR);SCHISIS (AR)</t>
  </si>
  <si>
    <t>IFT172</t>
  </si>
  <si>
    <t>BBS20|NPHP17|RP71|SLB|SRTD10|osm-1|wim</t>
  </si>
  <si>
    <t>IFT27</t>
  </si>
  <si>
    <t>BBS19|FAP156|RABL4|RAYL</t>
  </si>
  <si>
    <t>IFT43</t>
  </si>
  <si>
    <t>C14orf179|CED3|RP81|SRTD18</t>
  </si>
  <si>
    <t>BLIND (AR);CFA (AR);CILIO (AR);DERM (AR);LENGTE (AR);LEVER (AR);NIER (AR);OMIM (AR);PCS (AR)</t>
  </si>
  <si>
    <t>IFT52</t>
  </si>
  <si>
    <t>C20orf9|CGI-53|NGD2|NGD5</t>
  </si>
  <si>
    <t>IFT57</t>
  </si>
  <si>
    <t>ESRRBL1|HIPPI|MHS4R2|OFD18</t>
  </si>
  <si>
    <t>IFT74</t>
  </si>
  <si>
    <t>CCDC2|CMG-1|CMG1</t>
  </si>
  <si>
    <t>IFT80</t>
  </si>
  <si>
    <t>ATD2|FAP167|SRTD2|WDR56</t>
  </si>
  <si>
    <t>IFT81</t>
  </si>
  <si>
    <t>CDV-1|CDV-1R|CDV1|CDV1R|DV1|SRTD19</t>
  </si>
  <si>
    <t>BLIND (AR);CILIO (AR);LENGTE (AR);MR (AR);OMIM (AR);PCS (AR)</t>
  </si>
  <si>
    <t>IFT88</t>
  </si>
  <si>
    <t>D13S1056E|DAF19|TG737|TTC10|hTg737</t>
  </si>
  <si>
    <t>IGBP1</t>
  </si>
  <si>
    <t>ALPHA-4|IBP1|alpha4</t>
  </si>
  <si>
    <t>IGF1</t>
  </si>
  <si>
    <t>IGF|IGF-I|IGFI|MGF</t>
  </si>
  <si>
    <t>IGF1R</t>
  </si>
  <si>
    <t>CD221|IGFIR|IGFR|JTK13</t>
  </si>
  <si>
    <t>LENGTE (AD,AR);MR (AD,AR);OMIM (AD,AR);PCS (AR)</t>
  </si>
  <si>
    <t>IGF2</t>
  </si>
  <si>
    <t>C11orf43|GRDF|IGF-II|PP9974|SRS3</t>
  </si>
  <si>
    <t>LENGTE (AD,IMP);OMIM (AD,IMP)</t>
  </si>
  <si>
    <t>IGF2R</t>
  </si>
  <si>
    <t>CD222|CI-M6PR|CIMPR|M6P-R|M6P/IGF2R|MPR 300|MPR1|MPR300|MPRI</t>
  </si>
  <si>
    <t>IGFALS</t>
  </si>
  <si>
    <t>ACLSD|ALS</t>
  </si>
  <si>
    <t>LENGTE (AD,AR);OMIM (AD,AR;UK,AR,AD,XL);PCS (AR)</t>
  </si>
  <si>
    <t>IGFBP7</t>
  </si>
  <si>
    <t>AGM|FSTL2|IBP-7|IGFBP-7|IGFBP-7v|IGFBPRP1|MAC25|PSF|RAMSVPS|TAF</t>
  </si>
  <si>
    <t>IGHG2</t>
  </si>
  <si>
    <t>IGHM</t>
  </si>
  <si>
    <t>AGM1|MU|VH</t>
  </si>
  <si>
    <t>IGHMBP2</t>
  </si>
  <si>
    <t>CATF1|CMT2S|HCSA|HMN6|SMARD1|SMUBP2|ZFAND7</t>
  </si>
  <si>
    <t>AKI (AR);HMSN (AR);OMIM (AR);PCS (AR);SPIER (AR)</t>
  </si>
  <si>
    <t>IGKC</t>
  </si>
  <si>
    <t>HCAK1|IGKCD|Km</t>
  </si>
  <si>
    <t>IGLL1</t>
  </si>
  <si>
    <t>14.1|AGM2|CD179b|IGL1|IGL5|IGLJ14.1|IGLL|IGO|IGVPB|VPREB2</t>
  </si>
  <si>
    <t>IGSF1</t>
  </si>
  <si>
    <t>CHTE|IGCD1|IGDC1|INHBP|PGSF2|p120</t>
  </si>
  <si>
    <t>LENGTE (XLR);OMIM (XLR)</t>
  </si>
  <si>
    <t>IGSF10</t>
  </si>
  <si>
    <t>CMF608</t>
  </si>
  <si>
    <t>IGSF3</t>
  </si>
  <si>
    <t>EWI-3|LCDD|V8</t>
  </si>
  <si>
    <t>IHH</t>
  </si>
  <si>
    <t>BDA1|HHG2</t>
  </si>
  <si>
    <t>IKBKB</t>
  </si>
  <si>
    <t>IKK-beta|IKK2|IKKB|IMD15|IMD15A|IMD15B|NFKBIKB</t>
  </si>
  <si>
    <t>IKBKG</t>
  </si>
  <si>
    <t>AMCBX1|EDAID1|FIP-3|FIP3|Fip3p|IKK-gamma|IKKAP1|IKKG|IMD33|IP|IP1|IP2|IPD2|NEMO|ZC2HC9</t>
  </si>
  <si>
    <t>CFA (XL);DERM (XL);IMMUUN (XL);LENGTE (XL);MR (XL);OMIM (XL)</t>
  </si>
  <si>
    <t>IKZF1</t>
  </si>
  <si>
    <t>CVID13|Hs.54452|IK1|IKAROS|LYF1|LyF-1|PPP1R92|PRO0758|ZNFN1A1</t>
  </si>
  <si>
    <t>IKZF5</t>
  </si>
  <si>
    <t>PEGASUS|THC7|ZNFN1A5</t>
  </si>
  <si>
    <t>BMF (AD);HEMOS (AD);OMIM (AD)</t>
  </si>
  <si>
    <t>IL10</t>
  </si>
  <si>
    <t>CSIF|GVHDS|IL-10|IL10A|TGIF</t>
  </si>
  <si>
    <t>ANEURYSM (AD);IMMUUN (AR);OMIM (AR;AD)</t>
  </si>
  <si>
    <t>IL10RA</t>
  </si>
  <si>
    <t>CD210|CD210a|CDW210A|HIL-10R|IL-10R1|IL10R</t>
  </si>
  <si>
    <t>IL10RB</t>
  </si>
  <si>
    <t>CDW210B|CRF2-4|CRFB4|D21S58|D21S66|IL-10R2</t>
  </si>
  <si>
    <t>IL11RA</t>
  </si>
  <si>
    <t>CRSDA</t>
  </si>
  <si>
    <t>IL12B</t>
  </si>
  <si>
    <t>CLMF|CLMF2|IL-12B|IMD28|IMD29|NKSF|NKSF2</t>
  </si>
  <si>
    <t>IL12RB1</t>
  </si>
  <si>
    <t>CD212|IL-12R-BETA1|IL12RB|IMD30</t>
  </si>
  <si>
    <t>IL17F</t>
  </si>
  <si>
    <t>CANDF6|IL-17F|ML-1|ML1</t>
  </si>
  <si>
    <t>IMMUUN (AD);OMIM (UK,AR,AD,XL)</t>
  </si>
  <si>
    <t>IL17RA</t>
  </si>
  <si>
    <t>CANDF5|CD217|CDw217|IL-17RA|IL17R|IMD51|hIL-17R</t>
  </si>
  <si>
    <t>IL17RC</t>
  </si>
  <si>
    <t>CANDF9|IL17-RL|IL17RL</t>
  </si>
  <si>
    <t>IL17RD</t>
  </si>
  <si>
    <t>HH18|IL-17RD|IL17RLM|SEF</t>
  </si>
  <si>
    <t>DERM (AD);DSD (AD);HH (AD);OMIM (AD;AD,AR)</t>
  </si>
  <si>
    <t>IL18BP</t>
  </si>
  <si>
    <t>FVH|IL18BPa</t>
  </si>
  <si>
    <t>IL1B</t>
  </si>
  <si>
    <t>IL-1|IL1-BETA|IL1F2|IL1beta</t>
  </si>
  <si>
    <t>IL1RAPL1</t>
  </si>
  <si>
    <t>IL-1-RAPL-1|IL-1RAPL-1|IL1R8|IL1RAPL|IL1RAPL-1|MRX10|MRX21|MRX34|OPHN4|TIGIRR-2</t>
  </si>
  <si>
    <t>IL1RN</t>
  </si>
  <si>
    <t>DIRA|ICIL-1RA|IL-1RN|IL-1ra|IL-1ra3|IL1F3|IL1RA|IRAP|MVCD4</t>
  </si>
  <si>
    <t>DERM (AR);IMMUUN (AR);LENGTE (AR);OMIM (AR);PCS (AR)</t>
  </si>
  <si>
    <t>IL2</t>
  </si>
  <si>
    <t>IL-2|TCGF|lymphokine</t>
  </si>
  <si>
    <t>IL21</t>
  </si>
  <si>
    <t>CVID11|IL-21|Za11</t>
  </si>
  <si>
    <t>IL21R</t>
  </si>
  <si>
    <t>CD360|IMD56|NILR</t>
  </si>
  <si>
    <t>IL2RA</t>
  </si>
  <si>
    <t>CD25|IDDM10|IL2R|IMD41|TCGFR|p55</t>
  </si>
  <si>
    <t>IL2RB</t>
  </si>
  <si>
    <t>CD122|IL15RB|IMD63|P70-75</t>
  </si>
  <si>
    <t>IL2RG</t>
  </si>
  <si>
    <t>CD132|CIDX|IL-2RG|IMD4|P64|SCIDX|SCIDX1</t>
  </si>
  <si>
    <t>IMMUUN (XL);LENGTE (XLR);OMIM (XLR);SCID (XL)</t>
  </si>
  <si>
    <t>IL31RA</t>
  </si>
  <si>
    <t>CRL|CRL3|GLM-R|GLMR|GPL|IL-31RA|PLCA2|PRO21384|hGLM-R|zcytoR17</t>
  </si>
  <si>
    <t>IL36RN</t>
  </si>
  <si>
    <t>FIL1|FIL1(DELTA)|FIL1D|IL-36Ra|IL1F5|IL1HY1|IL1L1|IL1RP3|IL36RA|PSORP|PSORS14</t>
  </si>
  <si>
    <t>IL6R</t>
  </si>
  <si>
    <t>CD126|HIES5|IL-1Ra|IL-6R|IL-6R-1|IL-6RA|IL6Q|IL6QTL|IL6RA|IL6RQ|gp80</t>
  </si>
  <si>
    <t>IL6ST</t>
  </si>
  <si>
    <t>CD130|CDW130|GP130|HIES4|IL-6RB|sGP130</t>
  </si>
  <si>
    <t>CFA (AR);IMMUUN (AD,AR);LENGTE (AR);OMIM (AR;AD,AR;UK,AR,AD,XL);PCS (AR)</t>
  </si>
  <si>
    <t>IL7R</t>
  </si>
  <si>
    <t>CD127|CDW127|IL-7R-alpha|IL7RA|ILRA</t>
  </si>
  <si>
    <t>ILDR1</t>
  </si>
  <si>
    <t>DFNB42|ILDR1alpha|ILDR1alpha'|ILDR1beta</t>
  </si>
  <si>
    <t>ILK</t>
  </si>
  <si>
    <t>HEL-S-28|ILK-1|ILK-2|P59|p59ILK</t>
  </si>
  <si>
    <t>IMPA1</t>
  </si>
  <si>
    <t>IMP|IMPA|MRT59</t>
  </si>
  <si>
    <t>IMPDH1</t>
  </si>
  <si>
    <t>IMPD|IMPD1|IMPDH-I|LCA11|RP10|sWSS2608</t>
  </si>
  <si>
    <t>BLIND (AD);METAB (AR);OMIM (AR;AD)</t>
  </si>
  <si>
    <t>IMPG1</t>
  </si>
  <si>
    <t>GP147|IPM150|SPACR|VMD4</t>
  </si>
  <si>
    <t>IMPG2</t>
  </si>
  <si>
    <t>IPM200|RP56|SPACRCAN|VMD5</t>
  </si>
  <si>
    <t>INF2</t>
  </si>
  <si>
    <t>C14orf151|C14orf173|CMTDIE|FSGS5|pp9484</t>
  </si>
  <si>
    <t>HMSN (AD);NIER (AD);OMIM (AD)</t>
  </si>
  <si>
    <t>ING1</t>
  </si>
  <si>
    <t>p24ING1c|p33|p33ING1|p33ING1b|p47|p47ING1a</t>
  </si>
  <si>
    <t>INO80</t>
  </si>
  <si>
    <t>INO80A|INOC1</t>
  </si>
  <si>
    <t>INPP5E</t>
  </si>
  <si>
    <t>CORS1|CPD4|JBTS1|MORMS|PPI5PIV|pharbin</t>
  </si>
  <si>
    <t>BLIND (AR);CILIO (AR);METAB (AR);MR (AR);NIER (AR);OMIM (AR);PCS (AR)</t>
  </si>
  <si>
    <t>INPP5K</t>
  </si>
  <si>
    <t>MDCCAID|PPS|SKIP</t>
  </si>
  <si>
    <t>INPPL1</t>
  </si>
  <si>
    <t>OPSMD|SHIP2</t>
  </si>
  <si>
    <t>INS</t>
  </si>
  <si>
    <t>IDDM|IDDM1|IDDM2|ILPR|IRDN|MODY10|PNDM4</t>
  </si>
  <si>
    <t>INSL3</t>
  </si>
  <si>
    <t>RLF|RLNL|ley-I-L</t>
  </si>
  <si>
    <t>INSR</t>
  </si>
  <si>
    <t>CD220|HHF5</t>
  </si>
  <si>
    <t>DERM (AD,AR);IMMUUN (AR);LEVER (AD,AR);METAB (AD);OMIM (AD,AR);PCS (AR)</t>
  </si>
  <si>
    <t>INTS1</t>
  </si>
  <si>
    <t>INT1|NDCAGF|NET28</t>
  </si>
  <si>
    <t>MR (AD);OMIM (AD;AR;UK,AR,AD,XL);PCS (AR)</t>
  </si>
  <si>
    <t>INTS8</t>
  </si>
  <si>
    <t>C8orf52|INT8|NEDCHS</t>
  </si>
  <si>
    <t>INTU</t>
  </si>
  <si>
    <t>CPLANE4|INT|OFD17|PDZD6|PDZK6|SRTD20</t>
  </si>
  <si>
    <t>CFA (AR);CILIO (AR);LENGTE (AR);NIER (AR);OMIM (AR);PCS (AR);SCHISIS (AR)</t>
  </si>
  <si>
    <t>INVS</t>
  </si>
  <si>
    <t>INV|NPH2|NPHP2</t>
  </si>
  <si>
    <t>BLIND (AR);CILIO (AR);LEVER (AR);NIER (AR);OMIM (AR);PCS (AR)</t>
  </si>
  <si>
    <t>IPMK</t>
  </si>
  <si>
    <t>IQCB1</t>
  </si>
  <si>
    <t>NPHP5|PIQ|SLSN5</t>
  </si>
  <si>
    <t>IQCE</t>
  </si>
  <si>
    <t>1700028P05Rik|PAPA7</t>
  </si>
  <si>
    <t>IQSEC1</t>
  </si>
  <si>
    <t>ARF-GEP100|ARFGEP100|BRAG2|GEP100|IDDSSBA</t>
  </si>
  <si>
    <t>IQSEC2</t>
  </si>
  <si>
    <t>BRAG1|IQ-ArfGEF|MRX1|MRX18|MRX78</t>
  </si>
  <si>
    <t>IRAK1</t>
  </si>
  <si>
    <t>IRAK|pelle</t>
  </si>
  <si>
    <t>IRAK4</t>
  </si>
  <si>
    <t>IMD67|IPD1|IRAK-4|NY-REN-64|REN64</t>
  </si>
  <si>
    <t>IREB2</t>
  </si>
  <si>
    <t>ACO3|IRE-BP 2|IRE-BP2|IRP2|IRP2AD|NDCAMA</t>
  </si>
  <si>
    <t>IRF1</t>
  </si>
  <si>
    <t>IRF-1|MAR</t>
  </si>
  <si>
    <t>IRF2BP2</t>
  </si>
  <si>
    <t>CVID14</t>
  </si>
  <si>
    <t>IRF2BPL</t>
  </si>
  <si>
    <t>C14orf4|EAP1|NEDAMSS</t>
  </si>
  <si>
    <t>IRF3</t>
  </si>
  <si>
    <t>IIAE7</t>
  </si>
  <si>
    <t>IRF4</t>
  </si>
  <si>
    <t>LSIRF|MUM1|NF-EM5|SHEP8</t>
  </si>
  <si>
    <t>DERM (AD);IMMUUN (AD,AR);OMIM (AD;AD,AR)</t>
  </si>
  <si>
    <t>IRF6</t>
  </si>
  <si>
    <t>LPS|OFC6|PIT|PPS|PPS1|VWS|VWS1</t>
  </si>
  <si>
    <t>CFA (AD);DERM (AD);DSD (AD);OMIM (AD);SCHISIS (AD)</t>
  </si>
  <si>
    <t>IRF7</t>
  </si>
  <si>
    <t>IMD39|IRF-7|IRF-7H|IRF7A|IRF7B|IRF7C|IRF7H</t>
  </si>
  <si>
    <t>IRF8</t>
  </si>
  <si>
    <t>H-ICSBP|ICSBP|ICSBP1|IMD32A|IMD32B|IRF-8</t>
  </si>
  <si>
    <t>IRF9</t>
  </si>
  <si>
    <t>IRF-9|ISGF3|ISGF3G|p48</t>
  </si>
  <si>
    <t>IRGM</t>
  </si>
  <si>
    <t>IFI1|IRGM1|LRG-47|LRG47</t>
  </si>
  <si>
    <t>IRS4</t>
  </si>
  <si>
    <t>CHNG9|IRS-4|PY160</t>
  </si>
  <si>
    <t>IRX1</t>
  </si>
  <si>
    <t>IRX-5|IRXA1</t>
  </si>
  <si>
    <t>IRX2</t>
  </si>
  <si>
    <t>IRXA2</t>
  </si>
  <si>
    <t>IRX4</t>
  </si>
  <si>
    <t>IRXA3</t>
  </si>
  <si>
    <t>IRX5</t>
  </si>
  <si>
    <t>HMMS|IRX-2a|IRXB2</t>
  </si>
  <si>
    <t>ISCA1</t>
  </si>
  <si>
    <t>HBLD2|ISA1|MMDS5|hIscA</t>
  </si>
  <si>
    <t>ISCA2</t>
  </si>
  <si>
    <t>HBLD1|ISA2|MMDS4|c14_5557</t>
  </si>
  <si>
    <t>ISCU</t>
  </si>
  <si>
    <t>2310020H20Rik|HML|ISU2|NIFU|NIFUN|hnifU</t>
  </si>
  <si>
    <t>OMIM (AR);OXPHOS (AR);PCS (AR);SPIER (AR)</t>
  </si>
  <si>
    <t>ISG15</t>
  </si>
  <si>
    <t>G1P2|IFI15|IMD38|IP17|UCRP|hUCRP</t>
  </si>
  <si>
    <t>ITCH</t>
  </si>
  <si>
    <t>ADMFD|AIF4|AIP4|NAPP1</t>
  </si>
  <si>
    <t>IMMUUN (AR);METAB (AR);OMIM (AR);PCS (AR)</t>
  </si>
  <si>
    <t>ITGA2</t>
  </si>
  <si>
    <t>BR|CD49B|GPIa|HPA-5|VLA-2|VLAA2</t>
  </si>
  <si>
    <t>ITGA2B</t>
  </si>
  <si>
    <t>BDPLT16|BDPLT2|CD41|CD41B|GP2B|GPIIb|GT|GTA|HPA3|PPP1R93</t>
  </si>
  <si>
    <t>ITGA3</t>
  </si>
  <si>
    <t>CD49C|FRP-2|GAP-B3|GAPB3|ILNEB|MSK18|VCA-2|VL3A|VLA3a</t>
  </si>
  <si>
    <t>ITGA6</t>
  </si>
  <si>
    <t>CD49f|ITGA6B|VLA-6</t>
  </si>
  <si>
    <t>ANEURYSM (AD);DERM (AR);OMIM (AR;AD);PCS (AR)</t>
  </si>
  <si>
    <t>ITGA7</t>
  </si>
  <si>
    <t>ITGA8</t>
  </si>
  <si>
    <t>ITGB2</t>
  </si>
  <si>
    <t>CD18|LAD|LCAMB|LFA-1|MAC-1|MF17|MFI7</t>
  </si>
  <si>
    <t>ITGB3</t>
  </si>
  <si>
    <t>BDPLT16|BDPLT2|CD61|GP3A|GPIIIa|GT</t>
  </si>
  <si>
    <t>ITGB4</t>
  </si>
  <si>
    <t>CD104|GP150</t>
  </si>
  <si>
    <t>DERM (AD,AR);OMIM (AD,AR);PCS (AR)</t>
  </si>
  <si>
    <t>ITGB6</t>
  </si>
  <si>
    <t>AI1H</t>
  </si>
  <si>
    <t>CFA (AR);DERM (AR);OMIM (AR);PCS (AR)</t>
  </si>
  <si>
    <t>ITK</t>
  </si>
  <si>
    <t>EMT|LPFS1|LYK|PSCTK2</t>
  </si>
  <si>
    <t>ITM2B</t>
  </si>
  <si>
    <t>ABRI|BRI|BRI2|BRICD2B|E25B|E3-16|FBD|RDGCA|imBRI2</t>
  </si>
  <si>
    <t>ITPA</t>
  </si>
  <si>
    <t>C20orf37|DEE35|HLC14-06-P|ITPase|My049|NTPase|dJ794I6.3</t>
  </si>
  <si>
    <t>EPI (AR);HART (AR);METAB (AR);MR (AR);OMIM (AR);PCS (AR)</t>
  </si>
  <si>
    <t>ITPR1</t>
  </si>
  <si>
    <t>ACV|CLA4|INSP3R1|IP3R|IP3R1|PPP1R94|SCA15|SCA16|SCA29</t>
  </si>
  <si>
    <t>BEWEGING (AD);BLIND (AD,AR);MR (AD);OMIM (AR;AD,AR);PCS (AR)</t>
  </si>
  <si>
    <t>ITPR2</t>
  </si>
  <si>
    <t>ANHD|CFAP48|INSP3R2|IP3R2</t>
  </si>
  <si>
    <t>ITPR3</t>
  </si>
  <si>
    <t>IP3R|IP3R3</t>
  </si>
  <si>
    <t>HMSN (AD);IMMUUN (AR);OMIM (AR;AD)</t>
  </si>
  <si>
    <t>ITSN1</t>
  </si>
  <si>
    <t>ITSN|SH3D1A|SH3P17</t>
  </si>
  <si>
    <t>ITSN2</t>
  </si>
  <si>
    <t>PRO2015|SH3D1B|SH3P18|SWA|SWAP</t>
  </si>
  <si>
    <t>IVD</t>
  </si>
  <si>
    <t>ACAD2|IVDH</t>
  </si>
  <si>
    <t>IVNS1ABP</t>
  </si>
  <si>
    <t>ARA3|FLARA3|HSPC068|IMD70|KLHL39|ND1|NS-1|NS1-BP|NS1BP</t>
  </si>
  <si>
    <t>IYD</t>
  </si>
  <si>
    <t>C6orf71|DEHAL1|IYD-1|TDH4</t>
  </si>
  <si>
    <t>JAG1</t>
  </si>
  <si>
    <t>AGS|AGS1|AHD|AWS|CD339|DCHE|HJ1|JAGL1</t>
  </si>
  <si>
    <t>ANEURYSM (AD);BLIND (AD);CHD (AD);HART (AD);HMSN (AD);LEVER (AD);MR (AD);NIER (AD);OMIM (AD)</t>
  </si>
  <si>
    <t>JAGN1</t>
  </si>
  <si>
    <t>GL009|SCN6</t>
  </si>
  <si>
    <t>BMF (AR);IMMUUN (AR);OMIM (AR);PCS (AR)</t>
  </si>
  <si>
    <t>JAK1</t>
  </si>
  <si>
    <t>AIIDE|JAK1A|JAK1B|JTK3</t>
  </si>
  <si>
    <t>IMMUUN (AD,AR);OMIM (AD,AR)</t>
  </si>
  <si>
    <t>JAK2</t>
  </si>
  <si>
    <t>JTK10</t>
  </si>
  <si>
    <t>HEMOS (AD);IJZER (AD);IMMUUN (AD,AR);OMIM (UK,AR,AD,XL;AD,AR)</t>
  </si>
  <si>
    <t>JAK3</t>
  </si>
  <si>
    <t>JAK-3|JAK3_HUMAN|JAKL|L-JAK|LJAK</t>
  </si>
  <si>
    <t>JAM2</t>
  </si>
  <si>
    <t>C21orf43|CD322|IBGC8|JAM-B|JAMB|PRO245|VE-JAM|VEJAM</t>
  </si>
  <si>
    <t>JAM3</t>
  </si>
  <si>
    <t>JAM-2|JAM-3|JAM-C|JAMC</t>
  </si>
  <si>
    <t>BEWEGING (AR);BLIND (AR);EPI (AR);MR (AR);OMIM (AR);PCS (AR)</t>
  </si>
  <si>
    <t>JMJD1C</t>
  </si>
  <si>
    <t>KDM3C|TRIP-8|TRIP8</t>
  </si>
  <si>
    <t>JPH1</t>
  </si>
  <si>
    <t>CMT2K|JP-1|JP1</t>
  </si>
  <si>
    <t>JPH2</t>
  </si>
  <si>
    <t>CMH17|JP-2|JP2</t>
  </si>
  <si>
    <t>JPH3</t>
  </si>
  <si>
    <t>CAGL237|HDL2|JP-3|JP3|TNRC22</t>
  </si>
  <si>
    <t>JUP</t>
  </si>
  <si>
    <t>CTNNG|DP3|DPIII|PDGB|PG|PKGB</t>
  </si>
  <si>
    <t>KALRN</t>
  </si>
  <si>
    <t>ARHGEF24|CHD5|CHDS5|DUET|DUO|HAPIP|TRAD</t>
  </si>
  <si>
    <t>KANK1</t>
  </si>
  <si>
    <t>ANKRD15|CPSQ2|KANK</t>
  </si>
  <si>
    <t>MR (AD);NIER (AR);OMIM (AD;UK,AR,AD,XL)</t>
  </si>
  <si>
    <t>KANK2</t>
  </si>
  <si>
    <t>ANKRD25|MXRA3|NPHS16|PPKWH|SIP</t>
  </si>
  <si>
    <t>KANSL1</t>
  </si>
  <si>
    <t>CENP-36|KDVS|KIAA1267|MSL1v1|NSL1|hMSL1v1</t>
  </si>
  <si>
    <t>EPI (AD);MR (AD);OMIM (AD);SCHISIS (AD)</t>
  </si>
  <si>
    <t>KARS1</t>
  </si>
  <si>
    <t>CMTRIB|DEAPLE|DFNB89|KARS|KARS2|KRS|LEPID</t>
  </si>
  <si>
    <t>DOOF (AR);HMSN (AR);OMIM (AR);OXPHOS (AR);PCS (AR)</t>
  </si>
  <si>
    <t>KAT6A</t>
  </si>
  <si>
    <t>ARTHS|MOZ|MRD32|MYST-3|MYST3|RUNXBP2|ZC2HC6A|ZNF220</t>
  </si>
  <si>
    <t>KAT6B</t>
  </si>
  <si>
    <t>GTPTS|MORF|MOZ2|MYST4|ZC2HC6B|qkf|querkopf</t>
  </si>
  <si>
    <t>CFA (AD,AR);DERM (AD);DSD (AD);LENGTE (AD);MR (AD);OMIM (AD;AD,AR)</t>
  </si>
  <si>
    <t>KAT8</t>
  </si>
  <si>
    <t>LIGOWS|MOF|MYST1|ZC2HC8|hMOF</t>
  </si>
  <si>
    <t>KATNB1</t>
  </si>
  <si>
    <t>KAT|LIS6</t>
  </si>
  <si>
    <t>KATNIP</t>
  </si>
  <si>
    <t>JBTS26|KIAA0556</t>
  </si>
  <si>
    <t>KIAA0556</t>
  </si>
  <si>
    <t>CILIO (AR);NIER (AR);OMIM (AR);PCS (AR)</t>
  </si>
  <si>
    <t>KBTBD13</t>
  </si>
  <si>
    <t>HCG1645727|NEM6</t>
  </si>
  <si>
    <t>HMSN (AD);OMIM (AD);SPIER (AD)</t>
  </si>
  <si>
    <t>KCNA1</t>
  </si>
  <si>
    <t>AEMK|EA1|HBK1|HUK1|KV1.1|MBK1|MK1|RBK1</t>
  </si>
  <si>
    <t>KCNA2</t>
  </si>
  <si>
    <t>DEE32|EIEE32|HBK5|HK4|HUKIV|KV1.2|MK2|NGK1|RBK2</t>
  </si>
  <si>
    <t>BEWEGING (AD);EPI (AD);METAB (AD);MR (AD);OMIM (AD)</t>
  </si>
  <si>
    <t>KCNA4</t>
  </si>
  <si>
    <t>HBK4|HK1|HPCN2|HUKII|KCNA4L|KCNA8|KV1.4|MCIDDS|PCN2</t>
  </si>
  <si>
    <t>KCNA5</t>
  </si>
  <si>
    <t>ATFB7|HCK1|HK2|HPCN1|KV1.5|PCN1</t>
  </si>
  <si>
    <t>KCNB1</t>
  </si>
  <si>
    <t>DEE26|DRK1|Kv2.1</t>
  </si>
  <si>
    <t>KCNC1</t>
  </si>
  <si>
    <t>EPM7|KV3.1|KV4|NGK2</t>
  </si>
  <si>
    <t>KCNC3</t>
  </si>
  <si>
    <t>KSHIIID|KV3.3|SCA13</t>
  </si>
  <si>
    <t>KCND2</t>
  </si>
  <si>
    <t>KV4.2|RK5</t>
  </si>
  <si>
    <t>KCND3</t>
  </si>
  <si>
    <t>BRGDA9|KCND3L|KCND3S|KSHIVB|KV4.3|SCA19|SCA22</t>
  </si>
  <si>
    <t>BEWEGING (AD);HART (AD);OMIM (AD)</t>
  </si>
  <si>
    <t>KCNE1</t>
  </si>
  <si>
    <t>ISK|JLNS|JLNS2|LQT2/5|LQT5|MinK</t>
  </si>
  <si>
    <t>DOOF (AR);HART (AD);OMIM (AD,AR);PCS (AR)</t>
  </si>
  <si>
    <t>KCNE2</t>
  </si>
  <si>
    <t>ATFB4|LQT5|LQT6|MIRP1</t>
  </si>
  <si>
    <t>KCNE3</t>
  </si>
  <si>
    <t>BRGDA6|HOKPP|HYPP|MiRP2</t>
  </si>
  <si>
    <t>KCNE4</t>
  </si>
  <si>
    <t>MIRP3</t>
  </si>
  <si>
    <t>KCNE5</t>
  </si>
  <si>
    <t>KCNE1L</t>
  </si>
  <si>
    <t>HART (XL);OMIM (XL)</t>
  </si>
  <si>
    <t>KCNH1</t>
  </si>
  <si>
    <t>EAG|EAG1|Kv10.1|TMBTS|ZLS1|h-eag|hEAG|hEAG1</t>
  </si>
  <si>
    <t>KCNH2</t>
  </si>
  <si>
    <t>ERG-1|ERG1|H-ERG|HERG|HERG1|Kv11.1|LQT2|SQT1</t>
  </si>
  <si>
    <t>KCNJ1</t>
  </si>
  <si>
    <t>KIR1.1|ROMK|ROMK1</t>
  </si>
  <si>
    <t>KCNJ10</t>
  </si>
  <si>
    <t>BIRK-10|KCNJ13-PEN|KIR1.2|KIR4.1|SESAME</t>
  </si>
  <si>
    <t>BEWEGING (AR);DOOF (AD,AR);EPI (AR);MR (AR);NIER (AR);OMIM (AR;AD,AR);PCS (AR)</t>
  </si>
  <si>
    <t>KCNJ11</t>
  </si>
  <si>
    <t>BIR|HHF2|IKATP|KIR6.2|MODY13|PHHI|PNDM2|TNDM3</t>
  </si>
  <si>
    <t>EPI (AD);HART (AD,AR);METAB (AD,AR);MR (AD);OMIM (AD;AR;AD,AR);PCS (AR)</t>
  </si>
  <si>
    <t>KCNJ13</t>
  </si>
  <si>
    <t>KIR1.4|KIR7.1|LCA16|SVD</t>
  </si>
  <si>
    <t>KCNJ2</t>
  </si>
  <si>
    <t>ATFB9|HHBIRK1|HHIRK1|IRK1|KIR2.1|LQT7|SQT3</t>
  </si>
  <si>
    <t>HART (AD);LENGTE (AD);OMIM (AD);SCHISIS (AD);SPIER (AD)</t>
  </si>
  <si>
    <t>KCNJ5</t>
  </si>
  <si>
    <t>CIR|GIRK4|KATP1|KIR3.4|LQT13</t>
  </si>
  <si>
    <t>HART (AD);NIER (AD);OMIM (AD)</t>
  </si>
  <si>
    <t>KCNJ6</t>
  </si>
  <si>
    <t>BIR1|GIRK-2|GIRK2|KATP-2|KATP2|KCNJ7|KIR3.2|KPLBS|hiGIRK2</t>
  </si>
  <si>
    <t>KCNJ8</t>
  </si>
  <si>
    <t>KIR6.1|uKATP-1</t>
  </si>
  <si>
    <t>KCNK3</t>
  </si>
  <si>
    <t>K2p3.1|OAT1|PPH4|TASK|TASK-1|TASK1|TBAK1</t>
  </si>
  <si>
    <t>KCNK4</t>
  </si>
  <si>
    <t>FHEIG|K2p4.1|TRAAK|TRAAK1</t>
  </si>
  <si>
    <t>KCNK9</t>
  </si>
  <si>
    <t>BIBARS|K2p9.1|KT3.2|TASK-3|TASK3|TASK32</t>
  </si>
  <si>
    <t>DERM (AD);MR (AD,IMP);OMIM (AD,IMP);SCHISIS (AD,IMP)</t>
  </si>
  <si>
    <t>KCNMA1</t>
  </si>
  <si>
    <t>BKTM|CADEDS|IEG16|KCa1.1|LIWAS|MaxiK|PNKD3|SAKCA|SLO|SLO-ALPHA|SLO1|bA205K10.1|hSlo|mSLO1</t>
  </si>
  <si>
    <t>BEWEGING (AD);EPI (AD);MR (AD,AR);OMIM (AD,AR);PCS (AR)</t>
  </si>
  <si>
    <t>KCNN3</t>
  </si>
  <si>
    <t>KCa2.3|SK3|SKCA3|ZLS3|hSK3</t>
  </si>
  <si>
    <t>KCNN4</t>
  </si>
  <si>
    <t>DHS2|IK|IK1|IKCA1|KCA4|KCa3.1|SK4|hIKCa1|hKCa4|hSK4</t>
  </si>
  <si>
    <t>KCNQ1</t>
  </si>
  <si>
    <t>ATFB1|ATFB3|JLNS1|KCNA8|KCNA9|KVLQT1|Kv1.9|Kv7.1|LQT|LQT1|RWS|SQT2|WRS</t>
  </si>
  <si>
    <t>DOOF (AR);HART (AD);OMIM (AR;AD,AR);PCS (AR)</t>
  </si>
  <si>
    <t>KCNQ1OT1</t>
  </si>
  <si>
    <t>KCNQ1-AS2|KCNQ10T1|Kncq1|KvDMR1|KvLQT1-AS|LIT1|NCRNA00012</t>
  </si>
  <si>
    <t>KCNQ2</t>
  </si>
  <si>
    <t>BFNC|DEE7|EBN|EBN1|ENB1|HNSPC|KCNA11|KV7.2</t>
  </si>
  <si>
    <t>KCNQ3</t>
  </si>
  <si>
    <t>BFNC2|EBN2|KV7.3</t>
  </si>
  <si>
    <t>KCNQ4</t>
  </si>
  <si>
    <t>DFNA2|DFNA2A|KV7.4</t>
  </si>
  <si>
    <t>KCNQ5</t>
  </si>
  <si>
    <t>Kv7.5|MRD46</t>
  </si>
  <si>
    <t>KCNT1</t>
  </si>
  <si>
    <t>DEE14|EIEE14|ENFL5|KCa4.1|SLACK|Slo2.2|bA100C15.2</t>
  </si>
  <si>
    <t>KCNT2</t>
  </si>
  <si>
    <t>DEE57|EIEE57|KCa4.2|SLICK|SLO2.1</t>
  </si>
  <si>
    <t>KCNV2</t>
  </si>
  <si>
    <t>KV11.1|Kv8.2|RCD3B</t>
  </si>
  <si>
    <t>KCTD1</t>
  </si>
  <si>
    <t>C18orf5</t>
  </si>
  <si>
    <t>KCTD17</t>
  </si>
  <si>
    <t>KCTD3</t>
  </si>
  <si>
    <t>NY-REN-45</t>
  </si>
  <si>
    <t>KCTD7</t>
  </si>
  <si>
    <t>CLN14|EPM3</t>
  </si>
  <si>
    <t>KDELR2</t>
  </si>
  <si>
    <t>ELP-1|ELP1|ERD2.2|OI21</t>
  </si>
  <si>
    <t>KDF1</t>
  </si>
  <si>
    <t>C1orf172|ECTD12</t>
  </si>
  <si>
    <t>CFA (AD);DERM (AD);OMIM (AD)</t>
  </si>
  <si>
    <t>KDM1A</t>
  </si>
  <si>
    <t>AOF2|BHC110|CPRF|KDM1|LSD1</t>
  </si>
  <si>
    <t>KDM3B</t>
  </si>
  <si>
    <t>5qNCA|C5orf7|DIJOS|JMJD1B|NET22</t>
  </si>
  <si>
    <t>KDM5B</t>
  </si>
  <si>
    <t>CT31|JARID1B|MRT65|PLU-1|PLU1|PPP1R98|PUT1|RBBP2H1A|RBP2-H1</t>
  </si>
  <si>
    <t>KDM5C</t>
  </si>
  <si>
    <t>DXS1272E|JARID1C|MRX13|MRXJ|MRXSCJ|MRXSJ|SMCX|XE169</t>
  </si>
  <si>
    <t>KDM6A</t>
  </si>
  <si>
    <t>KABUK2|UTX|bA386N14.2</t>
  </si>
  <si>
    <t>CFA (XL);IMMUUN (XL);MR (XL);OMIM (XL);SCHISIS (XL)</t>
  </si>
  <si>
    <t>KDM6B</t>
  </si>
  <si>
    <t>JMJD3|NEDCFSA</t>
  </si>
  <si>
    <t>EPI (AD);MR (AD,AR);OMIM (AD;AD,AR)</t>
  </si>
  <si>
    <t>KDR</t>
  </si>
  <si>
    <t>CD309|FLK1|VEGFR|VEGFR2</t>
  </si>
  <si>
    <t>KDSR</t>
  </si>
  <si>
    <t>DHSR|EKVP4|FVT1|SDR35C1</t>
  </si>
  <si>
    <t>DERM (AR);HEMOS (AR);OMIM (AR)</t>
  </si>
  <si>
    <t>KERA</t>
  </si>
  <si>
    <t>CNA2|KTN|SLRR2B</t>
  </si>
  <si>
    <t>KHDC3L</t>
  </si>
  <si>
    <t>C6orf221|ECAT1|HYDM2</t>
  </si>
  <si>
    <t>KIAA0586</t>
  </si>
  <si>
    <t>JBTS23|SRTD14|Talpid3</t>
  </si>
  <si>
    <t>BLIND (AR);CILIO (AR);LENGTE (AR);MR (AR);OMIM (AR);PCS (AR);SCHISIS (AR)</t>
  </si>
  <si>
    <t>KIAA0753</t>
  </si>
  <si>
    <t>MNR|OFIP</t>
  </si>
  <si>
    <t>KIAA0825</t>
  </si>
  <si>
    <t>C5orf36|PAPA10</t>
  </si>
  <si>
    <t>KIAA1109</t>
  </si>
  <si>
    <t>ALKKUCS|FSA|Tweek</t>
  </si>
  <si>
    <t>KIAA1549</t>
  </si>
  <si>
    <t>RP86</t>
  </si>
  <si>
    <t>KIDINS220</t>
  </si>
  <si>
    <t>ARMS|SINO</t>
  </si>
  <si>
    <t>KIF11</t>
  </si>
  <si>
    <t>EG5|HKSP|KNSL1|MCLMR|TRIP5</t>
  </si>
  <si>
    <t>BLIND (AD);DERM (AD);MR (AD);OMIM (AD)</t>
  </si>
  <si>
    <t>KIF14</t>
  </si>
  <si>
    <t>MCPH20|MKS12</t>
  </si>
  <si>
    <t>KIF1A</t>
  </si>
  <si>
    <t>ATSV|C2orf20|HSN2C|MRD9|NESCAVS|SPG30|UNC104</t>
  </si>
  <si>
    <t>BEWEGING (AD,AR);HMSN (AR);HNPD (AR);MR (AD);OMIM (AD,AR);OXPHOS (AD);PCS (AR)</t>
  </si>
  <si>
    <t>KIF1B</t>
  </si>
  <si>
    <t>CMT2|CMT2A|CMT2A1|HMSNII|KLP|NBLST1</t>
  </si>
  <si>
    <t>HMSN (AD);OMIM (AD);TUMOR (AD)</t>
  </si>
  <si>
    <t>KIF1C</t>
  </si>
  <si>
    <t>LTXS1|SATX2|SAX2|SPAX2|SPG58</t>
  </si>
  <si>
    <t>KIF21A</t>
  </si>
  <si>
    <t>CFEOM1|FEOM1|FEOM3A</t>
  </si>
  <si>
    <t>BLIND (AD);OMIM (AD);SPIER (AD)</t>
  </si>
  <si>
    <t>KIF22</t>
  </si>
  <si>
    <t>A-328A3.2|KID|KNSL4|OBP|OBP-1|OBP-2|SEMDJL2</t>
  </si>
  <si>
    <t>KIF23</t>
  </si>
  <si>
    <t>CHO1|KNSL5|MKLP-1|MKLP1</t>
  </si>
  <si>
    <t>IJZER (AR);OMIM (AR)</t>
  </si>
  <si>
    <t>KIF2A</t>
  </si>
  <si>
    <t>CDCBM3|HK2|KIF2</t>
  </si>
  <si>
    <t>KIF3B</t>
  </si>
  <si>
    <t>FLA8|HH0048|KLP-11|RP89</t>
  </si>
  <si>
    <t>BLIND (AR);MR (AD);OMIM (AD;AR)</t>
  </si>
  <si>
    <t>KIF4A</t>
  </si>
  <si>
    <t>KIF4|KIF4G1|MRX100</t>
  </si>
  <si>
    <t>KIF5A</t>
  </si>
  <si>
    <t>ALS25|D12S1889|MY050|NEIMY|NKHC|SPG10</t>
  </si>
  <si>
    <t>ALS (AD);BEWEGING (AD);EPI (AD);HMSN (AD);MR (AD);OMIM (AD)</t>
  </si>
  <si>
    <t>KIF5C</t>
  </si>
  <si>
    <t>CDCBM2|KINN|NKHC|NKHC-2|NKHC2</t>
  </si>
  <si>
    <t>AKI (AD);MR (AD);OMIM (AD)</t>
  </si>
  <si>
    <t>KIF7</t>
  </si>
  <si>
    <t>ACLS|AGBK|HLS2|JBTS12|UNQ340</t>
  </si>
  <si>
    <t>KIFBP</t>
  </si>
  <si>
    <t>KBP|KIAA1279|KIF1BP|TTC20</t>
  </si>
  <si>
    <t>KIRREL1</t>
  </si>
  <si>
    <t>KIRREL|NEPH1|NPHS23</t>
  </si>
  <si>
    <t>KIRREL3</t>
  </si>
  <si>
    <t>KIRRE|MRD4|NEPH2|PRO4502</t>
  </si>
  <si>
    <t>KISS1</t>
  </si>
  <si>
    <t>HH13|KiSS-1</t>
  </si>
  <si>
    <t>KISS1R</t>
  </si>
  <si>
    <t>AXOR12|CPPB1|GPR54|HH8|HOT7T175|KISS-1R</t>
  </si>
  <si>
    <t>DSD (AR);HH (AR);OMIM (AR;AD,AR);PCS (AR)</t>
  </si>
  <si>
    <t>KIT</t>
  </si>
  <si>
    <t>C-Kit|CD117|MASTC|PBT|SCFR</t>
  </si>
  <si>
    <t>KITLG</t>
  </si>
  <si>
    <t>DCUA|DFNA69|FPH2|FPHH|KL-1|Kitl|MGF|SCF|SF|SHEP7|SLF</t>
  </si>
  <si>
    <t>DERM (AD);DOOF (AD);OMIM (AD)</t>
  </si>
  <si>
    <t>KIZ</t>
  </si>
  <si>
    <t>C20orf19|HT013|Kizuna|NCRNA00153|PLK1S1|RP69</t>
  </si>
  <si>
    <t>KL</t>
  </si>
  <si>
    <t>HFTC3</t>
  </si>
  <si>
    <t>LENGTE (AR);NIER (AR);OMIM (AR;UK,AR,AD,XL);PCS (AR)</t>
  </si>
  <si>
    <t>KLB</t>
  </si>
  <si>
    <t>BKL</t>
  </si>
  <si>
    <t>KLC2</t>
  </si>
  <si>
    <t>KLF1</t>
  </si>
  <si>
    <t>EKLF|EKLF/KLF1</t>
  </si>
  <si>
    <t>BMF (AD);IJZER (AD);OMIM (AD)</t>
  </si>
  <si>
    <t>KLF10</t>
  </si>
  <si>
    <t>EGR-alpha|EGRA|TIEG|TIEG1</t>
  </si>
  <si>
    <t>HART (AD,AR);OMIM (AD,AR)</t>
  </si>
  <si>
    <t>KLF11</t>
  </si>
  <si>
    <t>FKLF|FKLF1|MODY7|TIEG2|Tieg3</t>
  </si>
  <si>
    <t>KLF6</t>
  </si>
  <si>
    <t>BCD1|CBA1|COPEB|CPBP|GBF|PAC1|ST12|ZF9</t>
  </si>
  <si>
    <t>KLF7</t>
  </si>
  <si>
    <t>UKLF</t>
  </si>
  <si>
    <t>KLHL10</t>
  </si>
  <si>
    <t>SPGF11</t>
  </si>
  <si>
    <t>KLHL15</t>
  </si>
  <si>
    <t>HEL-S-305</t>
  </si>
  <si>
    <t>KLHL24</t>
  </si>
  <si>
    <t>DRE1|EBSSH|KRIP6</t>
  </si>
  <si>
    <t>DERM (AD);HART (AR);OMIM (AD;AR)</t>
  </si>
  <si>
    <t>KLHL3</t>
  </si>
  <si>
    <t>PHA2D</t>
  </si>
  <si>
    <t>NIER (AD,AR);OMIM (AD,AR);PCS (AR)</t>
  </si>
  <si>
    <t>KLHL40</t>
  </si>
  <si>
    <t>KBTBD5|NEM8|SRYP|SYRP</t>
  </si>
  <si>
    <t>AKI (AR);OMIM (AR;UK,AR,AD,XL);PCS (AR);SPIER (AR)</t>
  </si>
  <si>
    <t>KLHL41</t>
  </si>
  <si>
    <t>KBTBD10|Krp1|SARCOSIN</t>
  </si>
  <si>
    <t>KLHL7</t>
  </si>
  <si>
    <t>CISS3|KLHL6|PERCHING|SBBI26</t>
  </si>
  <si>
    <t>BLIND (AD);OMIM (AR;AD,AR);PCS (AR)</t>
  </si>
  <si>
    <t>KLHL9</t>
  </si>
  <si>
    <t>KLK4</t>
  </si>
  <si>
    <t>AI2A1|ARM1|EMSP|EMSP1|KLK-L1|PRSS17|PSTS|kallikrein</t>
  </si>
  <si>
    <t>KLKB1</t>
  </si>
  <si>
    <t>KLK3|PKK|PKKD|PPK</t>
  </si>
  <si>
    <t>KLLN</t>
  </si>
  <si>
    <t>CWS4|KILLIN</t>
  </si>
  <si>
    <t>DERM (AD);OMIM (UK,AR,AD,XL)</t>
  </si>
  <si>
    <t>KMT2A</t>
  </si>
  <si>
    <t>ALL-1|CXXC7|HRX|HTRX1|MLL|MLL1|MLL1A|TRX1|WDSTS</t>
  </si>
  <si>
    <t>LENGTE (AD);METAB (AR);MR (AD);OMIM (AD;AR)</t>
  </si>
  <si>
    <t>KMT2B</t>
  </si>
  <si>
    <t>CXXC10|DYT28|HRX2|MLL1B|MLL2|MLL4|TRX2|WBP-7|WBP7</t>
  </si>
  <si>
    <t>BEWEGING (AD);MR (AD);OMIM (AD;AR);PCS (AR)</t>
  </si>
  <si>
    <t>KMT2C</t>
  </si>
  <si>
    <t>HALR|KLEFS2|MLL3</t>
  </si>
  <si>
    <t>KMT2D</t>
  </si>
  <si>
    <t>AAD10|ALR|CAGL114|KABUK1|KMS|MLL2|MLL4|TNRC21</t>
  </si>
  <si>
    <t>ANEURYSM (AD);CFA (AD);CHD (AD);DERM (AD);HART (AD);IMMUUN (AD);METAB (AR);MR (AD);OMIM (AD;AR);SCHISIS (AD)</t>
  </si>
  <si>
    <t>KMT2E</t>
  </si>
  <si>
    <t>HDCMC04P|MLL5|NKp44L|ODLURO</t>
  </si>
  <si>
    <t>KMT5B</t>
  </si>
  <si>
    <t>CGI-85|CGI85|MRD51|SUV420H1</t>
  </si>
  <si>
    <t>KNG1</t>
  </si>
  <si>
    <t>BDK|BK|HMWK|KNG</t>
  </si>
  <si>
    <t>KNL1</t>
  </si>
  <si>
    <t>AF15Q14|CASC5|CT29|D40|MCPH4|PPP1R55|Spc7|hKNL-1|hSpc105</t>
  </si>
  <si>
    <t>KPTN</t>
  </si>
  <si>
    <t>2E4|KICS4|MRT41</t>
  </si>
  <si>
    <t>KRAS</t>
  </si>
  <si>
    <t>'C-K-RAS|C-K-RAS|CFC2|K-RAS2A|K-RAS2B|K-RAS4A|K-RAS4B|K-Ras|K-Ras 2|KI-RAS|KRAS1|KRAS2|NS|NS3|OES|RALD|RASK2|c-Ki-ras|c-Ki-ras2</t>
  </si>
  <si>
    <t>ANEURYSM (AD);BMF (AD);CHD (AD);DERM (AD);HART (AD);HEMOS (AD);IMMUUN (AD);LENGTE (AD);MR (AD);OMIM (AD;UK,AR,AD,XL);RAS (AD);TUMOR (AD)</t>
  </si>
  <si>
    <t>KREMEN1</t>
  </si>
  <si>
    <t>ECTD13|KREMEN|KRM1</t>
  </si>
  <si>
    <t>KRIT1</t>
  </si>
  <si>
    <t>CAM|CCM1</t>
  </si>
  <si>
    <t>KRT1</t>
  </si>
  <si>
    <t>CK1|EHK|EHK1|EPPK|K1|KRT1A|NEPPK</t>
  </si>
  <si>
    <t>DERM (AD);OMIM (AD;AD,AR)</t>
  </si>
  <si>
    <t>KRT10</t>
  </si>
  <si>
    <t>BCIE|BIE|CK10|EHK|K10|KPP</t>
  </si>
  <si>
    <t>KRT12</t>
  </si>
  <si>
    <t>K12|MECD1</t>
  </si>
  <si>
    <t>KRT13</t>
  </si>
  <si>
    <t>CK13|K13|WSN2</t>
  </si>
  <si>
    <t>KRT14</t>
  </si>
  <si>
    <t>CK14|EBS3|EBS4|K14|NFJ</t>
  </si>
  <si>
    <t>KRT16</t>
  </si>
  <si>
    <t>CK16|FNEPPK|K16|K1CP|KRT16A|NEPPK|PC1</t>
  </si>
  <si>
    <t>KRT17</t>
  </si>
  <si>
    <t>39.1|CK-17|K17|PC|PC2|PCHC1</t>
  </si>
  <si>
    <t>KRT18</t>
  </si>
  <si>
    <t>CK-18|CYK18|K18</t>
  </si>
  <si>
    <t>KRT2</t>
  </si>
  <si>
    <t>CK-2e|K2e|KRT2A|KRT2E|KRTE</t>
  </si>
  <si>
    <t>KRT25</t>
  </si>
  <si>
    <t>ARWH3|KRT24IRS1|KRT25A</t>
  </si>
  <si>
    <t>KRT3</t>
  </si>
  <si>
    <t>CK3|K3|MECD2</t>
  </si>
  <si>
    <t>KRT4</t>
  </si>
  <si>
    <t>CK-4|CK4|CYK4|K4|WSN1</t>
  </si>
  <si>
    <t>KRT5</t>
  </si>
  <si>
    <t>CK5|DDD|DDD1|EBS2|K5|KRT5A</t>
  </si>
  <si>
    <t>DERM (AD);OMIM (AD;AD,AR);PCS (AR)</t>
  </si>
  <si>
    <t>KRT6A</t>
  </si>
  <si>
    <t>CK-6C|CK-6E|CK6A|CK6C|CK6D|K6A|K6C|K6D|KRT6C|KRT6D|PC3</t>
  </si>
  <si>
    <t>KRT6B</t>
  </si>
  <si>
    <t>CK-6B|CK6B|K6B|KRTL1|PC2|PC4</t>
  </si>
  <si>
    <t>KRT6C</t>
  </si>
  <si>
    <t>K6E|KRT6E|PPKNEFD</t>
  </si>
  <si>
    <t>KRT71</t>
  </si>
  <si>
    <t>HYPT13|K6IRS1|KRT6IRS|KRT6IRS1</t>
  </si>
  <si>
    <t>KRT74</t>
  </si>
  <si>
    <t>ADWH|HTSS2|HYPT3|K6IRS4|KRT5C|KRT6IRS4</t>
  </si>
  <si>
    <t>KRT75</t>
  </si>
  <si>
    <t>CK-75|K6HF|K75|KB18|PFB|hK6hf</t>
  </si>
  <si>
    <t>KRT8</t>
  </si>
  <si>
    <t>CARD2|CK-8|CK8|CYK8|K2C8|K8|KO</t>
  </si>
  <si>
    <t>KRT81</t>
  </si>
  <si>
    <t>HB1|Hb-1|K81|KRTHB1|MLN137|ghHkb1|hHAKB2-1</t>
  </si>
  <si>
    <t>KRT83</t>
  </si>
  <si>
    <t>EKVP5|HB3|Hb-3|KRTHB3|MNLIX</t>
  </si>
  <si>
    <t>KRT85</t>
  </si>
  <si>
    <t>ECTD4|HB5|Hb-5|K85|KRTHB5|hHb5</t>
  </si>
  <si>
    <t>KRT86</t>
  </si>
  <si>
    <t>HB6|Hb1|K86|KRTHB1|KRTHB6|MNX</t>
  </si>
  <si>
    <t>KRT9</t>
  </si>
  <si>
    <t>CK-9|EPPK|K9</t>
  </si>
  <si>
    <t>KY</t>
  </si>
  <si>
    <t>MFM7</t>
  </si>
  <si>
    <t>KYNU</t>
  </si>
  <si>
    <t>KYNUU|VCRL2</t>
  </si>
  <si>
    <t>L1CAM</t>
  </si>
  <si>
    <t>CAML1|CD171|HSAS|HSAS1|MASA|MIC5|N-CAM-L1|N-CAML1|NCAM-L1|S10|SPG1</t>
  </si>
  <si>
    <t>BEWEGING (XL);MR (XL);OMIM (XLR)</t>
  </si>
  <si>
    <t>L2HGDH</t>
  </si>
  <si>
    <t>C14orf160|L2HGA</t>
  </si>
  <si>
    <t>LACC1</t>
  </si>
  <si>
    <t>C13orf31|FAMIN|JUVAR</t>
  </si>
  <si>
    <t>LACTB</t>
  </si>
  <si>
    <t>G24|MRPL56</t>
  </si>
  <si>
    <t>LAGE3</t>
  </si>
  <si>
    <t>CVG5|DXS9879E|DXS9951E|ESO3|GAMOS2|ITBA2|Pcc1</t>
  </si>
  <si>
    <t>NIER (XL);OMIM (XL;XLR)</t>
  </si>
  <si>
    <t>LAMA1</t>
  </si>
  <si>
    <t>LAMA|PTBHS|S-LAM-alpha</t>
  </si>
  <si>
    <t>BEWEGING (AR);BLIND (AR);MR (AR);OMIM (AR);PCS (AR)</t>
  </si>
  <si>
    <t>LAMA2</t>
  </si>
  <si>
    <t>LAMM|MDC1A</t>
  </si>
  <si>
    <t>HART (AR);HMSN (AD);MR (AR);OMIM (AR;AD);PCS (AR);SPIER (AR)</t>
  </si>
  <si>
    <t>LAMA3</t>
  </si>
  <si>
    <t>BM600|E170|LAMNA|LOCS</t>
  </si>
  <si>
    <t>LAMA4</t>
  </si>
  <si>
    <t>CMD1JJ|LAMA3|LAMA4*-1</t>
  </si>
  <si>
    <t>LAMB1</t>
  </si>
  <si>
    <t>CLM|LIS5</t>
  </si>
  <si>
    <t>LAMB2</t>
  </si>
  <si>
    <t>LAMS|NPHS5</t>
  </si>
  <si>
    <t>BLIND (AR);NIER (AR);OMIM (AR);PCS (AR)</t>
  </si>
  <si>
    <t>LAMB3</t>
  </si>
  <si>
    <t>AI1A|BM600-125KDA|LAM5|LAMNB1</t>
  </si>
  <si>
    <t>CFA (AD);DERM (AR);OMIM (AD,AR);PCS (AR)</t>
  </si>
  <si>
    <t>LAMC2</t>
  </si>
  <si>
    <t>B2T|BM600|CSF|EBR2|EBR2A|LAMB2T|LAMNB2</t>
  </si>
  <si>
    <t>LAMC3</t>
  </si>
  <si>
    <t>OCCM</t>
  </si>
  <si>
    <t>LAMP2</t>
  </si>
  <si>
    <t>CD107b|DND|LAMP-2|LAMPB|LGP-96|LGP110</t>
  </si>
  <si>
    <t>BLIND (XL);HART (XL);METAB (AR);MR (XL);OMIM (XL;AR);SPIER (XL)</t>
  </si>
  <si>
    <t>LAMTOR2</t>
  </si>
  <si>
    <t>ENDAP|HSPC003|MAPBPIP|MAPKSP1AP|ROBLD3|Ragulator2|p14</t>
  </si>
  <si>
    <t>LAPTM5</t>
  </si>
  <si>
    <t>CLAST6</t>
  </si>
  <si>
    <t>BMF (AD);OMIM (AD)</t>
  </si>
  <si>
    <t>LARGE1</t>
  </si>
  <si>
    <t>LARGE|MDC1D|MDDGA6|MDDGB6</t>
  </si>
  <si>
    <t>LARP7</t>
  </si>
  <si>
    <t>ALAZS|HDCMA18P|PIP7S|hLARP7</t>
  </si>
  <si>
    <t>LARS1</t>
  </si>
  <si>
    <t>HSPC192|ILFS1|LARS|LEURS|LEUS|LFIS|LRS|PIG44|RNTLS|hr025Cl</t>
  </si>
  <si>
    <t>LARS2</t>
  </si>
  <si>
    <t>HLASA|LEURS|PRLTS4|mtLeuRS</t>
  </si>
  <si>
    <t>DOOF (AR);DSD (AR);IJZER (AR);OMIM (AR);OXPHOS (AR);PCS (AR)</t>
  </si>
  <si>
    <t>LAS1L</t>
  </si>
  <si>
    <t>Las1|Las1-like|WTS|dJ475B7.2</t>
  </si>
  <si>
    <t>LAT</t>
  </si>
  <si>
    <t>IMD52|LAT1|pp36</t>
  </si>
  <si>
    <t>LBR</t>
  </si>
  <si>
    <t>C14SR|DHCR14B|LMN2R|PHA|PHASK|TDRD18</t>
  </si>
  <si>
    <t>CILIO (AD,AR);LENGTE (AD,AR);OMIM (AR;AD,AR);PCS (AR)</t>
  </si>
  <si>
    <t>LBX1</t>
  </si>
  <si>
    <t>HPX-6|HPX6|LBX1H|homeobox</t>
  </si>
  <si>
    <t>LCA5</t>
  </si>
  <si>
    <t>C6orf152</t>
  </si>
  <si>
    <t>LCAT</t>
  </si>
  <si>
    <t>LCK</t>
  </si>
  <si>
    <t>IMD22|LSK|YT16|p56lck|pp58lck</t>
  </si>
  <si>
    <t>LCT</t>
  </si>
  <si>
    <t>LAC|LPH|LPH1</t>
  </si>
  <si>
    <t>LDB3</t>
  </si>
  <si>
    <t>CMD1C|CMH24|CMPD3|CYPHER|LDB3Z1|LDB3Z4|LVNC3|MFM4|ORACLE|PDLIM6|ZASP</t>
  </si>
  <si>
    <t>LDHA</t>
  </si>
  <si>
    <t>GSD11|HEL-S-133P|LDHM|PIG19</t>
  </si>
  <si>
    <t>DERM (AR);METAB (AR);OMIM (AR);PCS (AR);SPIER (AR)</t>
  </si>
  <si>
    <t>LDHB</t>
  </si>
  <si>
    <t>HEL-S-281|LDH-B|LDH-H|LDHBD|TRG-5</t>
  </si>
  <si>
    <t>LDHD</t>
  </si>
  <si>
    <t>DLACD|DLD</t>
  </si>
  <si>
    <t>LDLR</t>
  </si>
  <si>
    <t>FH|FHC|FHCL1|LDLCQ2</t>
  </si>
  <si>
    <t>LDLRAP1</t>
  </si>
  <si>
    <t>ARH|ARH1|ARH2|FHCB1|FHCB2|FHCL4</t>
  </si>
  <si>
    <t>LEF1</t>
  </si>
  <si>
    <t>LEF-1|TCF10|TCF1ALPHA|TCF7L3</t>
  </si>
  <si>
    <t>LEFTY2</t>
  </si>
  <si>
    <t>EBAF|LEFTA|LEFTYA|TGFB4</t>
  </si>
  <si>
    <t>CHD (AD,AR);HART (AD,AR);OMIM (AD,AR)</t>
  </si>
  <si>
    <t>LEMD2</t>
  </si>
  <si>
    <t>CTRCT42|LEM2|NET25|dJ482C21.1</t>
  </si>
  <si>
    <t>LEMD3</t>
  </si>
  <si>
    <t>MAN1</t>
  </si>
  <si>
    <t>DERM (AD);LENGTE (AD);OMIM (AD)</t>
  </si>
  <si>
    <t>LEP</t>
  </si>
  <si>
    <t>LEPD|OB|OBS</t>
  </si>
  <si>
    <t>ANEURYSM (AD);DSD (AR);HH (AR);OMIM (AR;AD);PCS (AR)</t>
  </si>
  <si>
    <t>LEPR</t>
  </si>
  <si>
    <t>CD295|LEP-R|LEPRD|OB-R|OBR</t>
  </si>
  <si>
    <t>LFNG</t>
  </si>
  <si>
    <t>SCDO3</t>
  </si>
  <si>
    <t>LGI1</t>
  </si>
  <si>
    <t>ADLTE|ADPAEF|ADPEAF|EPITEMPIN|EPT|ETL1|IB1099</t>
  </si>
  <si>
    <t>LGI4</t>
  </si>
  <si>
    <t>AMC1|AMCNMY|LGIL3</t>
  </si>
  <si>
    <t>LHB</t>
  </si>
  <si>
    <t>CGB4|HH23|LSH-B|LSH-beta</t>
  </si>
  <si>
    <t>LHCGR</t>
  </si>
  <si>
    <t>HHG|LCGR|LGR2|LH/CG-R|LH/CGR|LHR|LHRHR|LSH-R|ULG5</t>
  </si>
  <si>
    <t>DSD (AR);OMIM (AR;AD,AR);PCS (AR);TUMOR (AD,AR)</t>
  </si>
  <si>
    <t>LHFPL5</t>
  </si>
  <si>
    <t>DFNB67|TMHS|dJ510O8.8</t>
  </si>
  <si>
    <t>LHX1</t>
  </si>
  <si>
    <t>LIM-1|LIM1</t>
  </si>
  <si>
    <t>LHX3</t>
  </si>
  <si>
    <t>CPHD3|LIM3|M2-LHX3</t>
  </si>
  <si>
    <t>DSD (AR);HH (AR);LENGTE (AR);OMIM (AR);PCS (AR)</t>
  </si>
  <si>
    <t>LHX4</t>
  </si>
  <si>
    <t>CPHD4</t>
  </si>
  <si>
    <t>LIAS</t>
  </si>
  <si>
    <t>HGCLAS|HUSSY-01|LAS|LIP1|LS|PDHLD</t>
  </si>
  <si>
    <t>LIFR</t>
  </si>
  <si>
    <t>CD118|LIF-R|SJS2|STWS|SWS</t>
  </si>
  <si>
    <t>HNPD (AD,AR);LENGTE (AR);OMIM (AR;AD,AR);PCS (AR)</t>
  </si>
  <si>
    <t>LIG1</t>
  </si>
  <si>
    <t>LIG4</t>
  </si>
  <si>
    <t>LIG4S</t>
  </si>
  <si>
    <t>BMF (AR);DKC (AR);IMMUUN (AR);MR (AR);OMIM (AR);PCS (AR);SCID (AR);TUMOR (AR)</t>
  </si>
  <si>
    <t>LIM2</t>
  </si>
  <si>
    <t>CTRCT19|MP17|MP19</t>
  </si>
  <si>
    <t>LIMS2</t>
  </si>
  <si>
    <t>LGMD2W|MDRCMTT|PINCH-2|PINCH2</t>
  </si>
  <si>
    <t>LINGO1</t>
  </si>
  <si>
    <t>LERN1|LRRN6A|MRT64|UNQ201</t>
  </si>
  <si>
    <t>LINS1</t>
  </si>
  <si>
    <t>LINS|MRT27|WINS1</t>
  </si>
  <si>
    <t>LIPA</t>
  </si>
  <si>
    <t>CESD|LAL</t>
  </si>
  <si>
    <t>LIPC</t>
  </si>
  <si>
    <t>HDLCQ12|HL|HTGL|LIPH</t>
  </si>
  <si>
    <t>LIPE</t>
  </si>
  <si>
    <t>AOMS4|FPLD6|HSL|LHS|REH</t>
  </si>
  <si>
    <t>LIPH</t>
  </si>
  <si>
    <t>AH|ARWH2|HYPT7|LAH2|LPDLR|PLA1B|mPA-PLA1</t>
  </si>
  <si>
    <t>LIPN</t>
  </si>
  <si>
    <t>ARCI8|LI4|LIPL4|bA186O14.3</t>
  </si>
  <si>
    <t>LIPT1</t>
  </si>
  <si>
    <t>LIPT1D</t>
  </si>
  <si>
    <t>LIPT2</t>
  </si>
  <si>
    <t>LITAF</t>
  </si>
  <si>
    <t>PIG7|SIMPLE|TP53I7</t>
  </si>
  <si>
    <t>LMAN1</t>
  </si>
  <si>
    <t>ERGIC-53|ERGIC53|F5F8D|FMFD1|MCFD1|MR60|gp58</t>
  </si>
  <si>
    <t>LMAN2L</t>
  </si>
  <si>
    <t>MRT52|VIPL</t>
  </si>
  <si>
    <t>LMBR1</t>
  </si>
  <si>
    <t>ACHP|C7orf2|DIF14|LSS|PPD2|THYP|TPT|ZRS</t>
  </si>
  <si>
    <t>LMBRD1</t>
  </si>
  <si>
    <t>C6orf209|LMBD1|MAHCF|NESI</t>
  </si>
  <si>
    <t>LMF1</t>
  </si>
  <si>
    <t>C16orf26|HMFN1876|JFP11|TMEM112|TMEM112A</t>
  </si>
  <si>
    <t>LMNA</t>
  </si>
  <si>
    <t>CDCD1|CDDC|CMD1A|CMT2B1|EMD2|FPL|FPLD|FPLD2|HGPS|IDC|LDP1|LFP|LGMD1B|LMN1|LMNC|LMNL1|MADA|PRO1</t>
  </si>
  <si>
    <t>AKI (AD);DERM (AD,AR);HART (AD,AR);HMSN (AR);LENGTE (AR);OMIM (AD,AR);PCS (AR);SPIER (AD,AR)</t>
  </si>
  <si>
    <t>LMNB1</t>
  </si>
  <si>
    <t>ADLD|LMN|LMN2|LMNB|MCPH26</t>
  </si>
  <si>
    <t>LMNB2</t>
  </si>
  <si>
    <t>EPM9|LAMB2|LMN2|MCPH27</t>
  </si>
  <si>
    <t>LMOD1</t>
  </si>
  <si>
    <t>1D|64kD|D1|SM-LMOD|SMLMOD</t>
  </si>
  <si>
    <t>LMOD3</t>
  </si>
  <si>
    <t>NEM10</t>
  </si>
  <si>
    <t>LMX1A</t>
  </si>
  <si>
    <t>DFNA7|LMX1|LMX1.1</t>
  </si>
  <si>
    <t>LMX1B</t>
  </si>
  <si>
    <t>FSGS10|LMX1.2|NPS1</t>
  </si>
  <si>
    <t>DERM (AD);LENGTE (AD);NIER (AD);OMIM (AD)</t>
  </si>
  <si>
    <t>LNPK</t>
  </si>
  <si>
    <t>KIAA1715|LNP|LNP1|NEDEHCC|Ul|ulnaless</t>
  </si>
  <si>
    <t>LONP1</t>
  </si>
  <si>
    <t>CODASS|LON|LONP|LonHS|PIM1|PRSS15|hLON</t>
  </si>
  <si>
    <t>DERM (AR);LENGTE (AR);MR (AR);OMIM (AR);OXPHOS (AR);PCS (AR)</t>
  </si>
  <si>
    <t>LORICRIN</t>
  </si>
  <si>
    <t>LOR</t>
  </si>
  <si>
    <t>LOX</t>
  </si>
  <si>
    <t>AAT10</t>
  </si>
  <si>
    <t>LOXHD1</t>
  </si>
  <si>
    <t>DFNB77|LH2D1</t>
  </si>
  <si>
    <t>LOXL3</t>
  </si>
  <si>
    <t>LOXL</t>
  </si>
  <si>
    <t>LPA</t>
  </si>
  <si>
    <t>AK38|APOA|LP</t>
  </si>
  <si>
    <t>LPAR6</t>
  </si>
  <si>
    <t>ARWH1|HYPT8|LAH3|LPA-6|P2RY5|P2Y5</t>
  </si>
  <si>
    <t>LPIN1</t>
  </si>
  <si>
    <t>PAP1</t>
  </si>
  <si>
    <t>LPIN2</t>
  </si>
  <si>
    <t>DERM (AR);IJZER (UK,AR,AD,XL);IMMUUN (AR);LENGTE (AR);METAB (AR);OMIM (AR;UK,AR,AD,XL);PCS (AR)</t>
  </si>
  <si>
    <t>LPL</t>
  </si>
  <si>
    <t>HDLCQ11|LIPD</t>
  </si>
  <si>
    <t>ANEURYSM (AD);METAB (AR);OMIM (AR;AD;AD,AR);PCS (AR)</t>
  </si>
  <si>
    <t>LPP</t>
  </si>
  <si>
    <t>LRAT</t>
  </si>
  <si>
    <t>LCA14</t>
  </si>
  <si>
    <t>LRBA</t>
  </si>
  <si>
    <t>BGL|CDC4L|CVID8|LAB300|LBA</t>
  </si>
  <si>
    <t>LRIG2</t>
  </si>
  <si>
    <t>LIG-2|LIG2|UFS2</t>
  </si>
  <si>
    <t>LRIG3</t>
  </si>
  <si>
    <t>LIG3</t>
  </si>
  <si>
    <t>LRIT3</t>
  </si>
  <si>
    <t>CSNB1F|FIGLER4</t>
  </si>
  <si>
    <t>LRMDA</t>
  </si>
  <si>
    <t>C10orf11|CDA017</t>
  </si>
  <si>
    <t>LRP1</t>
  </si>
  <si>
    <t>A2MR|APOER|APR|CD91|IGFBP-3R|IGFBP3R|IGFBP3R1|KPA|LRP|LRP1A|TGFBR5</t>
  </si>
  <si>
    <t>ANEURYSM (AD);OMIM (AD;AR);PCS (AR)</t>
  </si>
  <si>
    <t>LRP12</t>
  </si>
  <si>
    <t>MIG13A|ST7</t>
  </si>
  <si>
    <t>LRP2</t>
  </si>
  <si>
    <t>DBS|GP330|LRP-2</t>
  </si>
  <si>
    <t>BLIND (AR);CFA (AR);DOOF (AR);MR (AR);NIER (AR);OMIM (AR);PCS (AR)</t>
  </si>
  <si>
    <t>LRP4</t>
  </si>
  <si>
    <t>CLSS|CMS17|LRP-4|LRP10|MEGF7|SOST2</t>
  </si>
  <si>
    <t>LENGTE (AD,AR);NIER (AR);OMIM (AR;AD,AR);PCS (AR)</t>
  </si>
  <si>
    <t>LRP5</t>
  </si>
  <si>
    <t>BMND1|EVR1|EVR4|HBM|LR3|LRP-5|LRP-7|LRP7|OPPG|OPS|OPTA1|PCLD4|VBCH2</t>
  </si>
  <si>
    <t>BLIND (AD,AR);DOOF (AD);LENGTE (AD,AR);LEVER (AD);NIER (AD);OMIM (AR;AD;AD,AR);PCS (AR)</t>
  </si>
  <si>
    <t>LRP6</t>
  </si>
  <si>
    <t>ADCAD2|STHAG7</t>
  </si>
  <si>
    <t>LRPAP1</t>
  </si>
  <si>
    <t>A2MRAP|A2RAP|HBP44|MRAP|MYP23|RAP|alpha-2-MRAP</t>
  </si>
  <si>
    <t>LRPPRC</t>
  </si>
  <si>
    <t>CLONE-23970|GP130|LRP130|LSFC|MC4DN5</t>
  </si>
  <si>
    <t>LRRC10</t>
  </si>
  <si>
    <t>HRLRRP|LRRC10A</t>
  </si>
  <si>
    <t>LRRC56</t>
  </si>
  <si>
    <t>CILD39|DNAAF12</t>
  </si>
  <si>
    <t>LRRC8A</t>
  </si>
  <si>
    <t>AGM5|LRRC8|SWELL1</t>
  </si>
  <si>
    <t>LRRK1</t>
  </si>
  <si>
    <t>RIPK6|Roco1</t>
  </si>
  <si>
    <t>LRRK2</t>
  </si>
  <si>
    <t>AURA17|DARDARIN|PARK8|RIPK7|ROCO2</t>
  </si>
  <si>
    <t>OMIM (AD);PARK (AD)</t>
  </si>
  <si>
    <t>LRSAM1</t>
  </si>
  <si>
    <t>CMT2P|RIFLE|TAL</t>
  </si>
  <si>
    <t>HMSN (AD,AR);OMIM (AD,AR);PCS (AR)</t>
  </si>
  <si>
    <t>LRTOMT</t>
  </si>
  <si>
    <t>CFAP111|DFNB63|LRRC51</t>
  </si>
  <si>
    <t>LSM11</t>
  </si>
  <si>
    <t>LSS</t>
  </si>
  <si>
    <t>APMR4|CTRCT44|HYPT14|OSC</t>
  </si>
  <si>
    <t>LTBP1</t>
  </si>
  <si>
    <t>LTBP2</t>
  </si>
  <si>
    <t>C14orf141|GLC3D|LTBP3|MSPKA|MSTP031|WMS3</t>
  </si>
  <si>
    <t>ANEURYSM (AR);BLIND (AR);LENGTE (AR);OMIM (AR);PCS (AR)</t>
  </si>
  <si>
    <t>LTBP3</t>
  </si>
  <si>
    <t>DASS|GPHYSD3|LTBP-3|LTBP2|STHAG6|pp6425</t>
  </si>
  <si>
    <t>ANEURYSM (AD,AR);CFA (AR);DERM (AR);HART (AD,AR);LENGTE (AR);OMIM (AD,AR);PCS (AR)</t>
  </si>
  <si>
    <t>LTBP4</t>
  </si>
  <si>
    <t>ARCL1C|LTBP-4|LTBP4L|LTBP4S</t>
  </si>
  <si>
    <t>ANEURYSM (AR);DERM (AR);OMIM (AR);PCS (AR)</t>
  </si>
  <si>
    <t>LTC4S</t>
  </si>
  <si>
    <t>LYRM4</t>
  </si>
  <si>
    <t>C6orf149|CGI-203|COXPD19|ISD11</t>
  </si>
  <si>
    <t>LYRM7</t>
  </si>
  <si>
    <t>C5orf31|MC3DN8|MZM1L</t>
  </si>
  <si>
    <t>LYST</t>
  </si>
  <si>
    <t>CHS|CHS1</t>
  </si>
  <si>
    <t>BLIND (AR);DERM (AR);HEMOS (AR);IMMUUN (AR);METAB (AR);MR (AR);OMIM (AR);PCS (AR)</t>
  </si>
  <si>
    <t>LYZ</t>
  </si>
  <si>
    <t>LYZF1|LZM</t>
  </si>
  <si>
    <t>LZTFL1</t>
  </si>
  <si>
    <t>BBS17</t>
  </si>
  <si>
    <t>LZTR1</t>
  </si>
  <si>
    <t>BTBD29|LZTR-1|NS10|NS2|SWNTS2</t>
  </si>
  <si>
    <t>HART (AD);HEMOS (AD);HNPD (AD);LENGTE (AD,AR);MR (AD,AR);OMIM (AD;AR;AD,AR);PCS (AR);RAS (AD,AR);TUMOR (AD)</t>
  </si>
  <si>
    <t>LZTS1</t>
  </si>
  <si>
    <t>F37|FEZ1</t>
  </si>
  <si>
    <t>MAB21L1</t>
  </si>
  <si>
    <t>CAGR1|COFG|Nbla00126</t>
  </si>
  <si>
    <t>MAB21L2</t>
  </si>
  <si>
    <t>MCOPS14|MCSKS14</t>
  </si>
  <si>
    <t>BLIND (AR);MR (AD,AR);OMIM (AR;AD,AR);PCS (AR)</t>
  </si>
  <si>
    <t>MACF1</t>
  </si>
  <si>
    <t>ABP620|ACF7|LIS9|MACF|OFC4</t>
  </si>
  <si>
    <t>MAD1L1</t>
  </si>
  <si>
    <t>MAD1|PIG9|TP53I9|TXBP181</t>
  </si>
  <si>
    <t>MAD2L2</t>
  </si>
  <si>
    <t>FANCV|MAD2B|POLZ2|REV7</t>
  </si>
  <si>
    <t>BMF (AR);OMIM (AR);PCS (AR);TUMOR (AR)</t>
  </si>
  <si>
    <t>MAF</t>
  </si>
  <si>
    <t>AYGRP|CCA4|CTRCT21|c-MAF</t>
  </si>
  <si>
    <t>MAFA</t>
  </si>
  <si>
    <t>INSDM|RIPE3b1|hMafA</t>
  </si>
  <si>
    <t>MAFB</t>
  </si>
  <si>
    <t>DURS3|KRML|MCTO</t>
  </si>
  <si>
    <t>MAG</t>
  </si>
  <si>
    <t>GMA|S-MAG|SIGLEC-4A|SIGLEC4A|SPG75</t>
  </si>
  <si>
    <t>MAGED2</t>
  </si>
  <si>
    <t>11B6|BARTS5|BCG-1|BCG1|HCA10|MAGE-D2</t>
  </si>
  <si>
    <t>NIER (XLR);OMIM (XLR)</t>
  </si>
  <si>
    <t>MAGEL2</t>
  </si>
  <si>
    <t>NDNL1|PWLS|SHFYNG|nM15</t>
  </si>
  <si>
    <t>MR (AD,IMP);OMIM (AD,IMP)</t>
  </si>
  <si>
    <t>MAGI2</t>
  </si>
  <si>
    <t>ACVRIP1|AIP-1|AIP1|ARIP1|MAGI-2|NPHS15|SSCAM</t>
  </si>
  <si>
    <t>MAGT1</t>
  </si>
  <si>
    <t>CDG1CC|IAP|MRX95|OST3B|PRO0756|SLC58A1|XMEN|bA217H1.1</t>
  </si>
  <si>
    <t>MAK</t>
  </si>
  <si>
    <t>RP62</t>
  </si>
  <si>
    <t>MAL2</t>
  </si>
  <si>
    <t>IMMUUN (UK,AR,AD,XL);OMIM (UK,AR,AD,XL)</t>
  </si>
  <si>
    <t>MALT1</t>
  </si>
  <si>
    <t>IMD12|MLT|MLT1|PCASP1</t>
  </si>
  <si>
    <t>MAML2</t>
  </si>
  <si>
    <t>MAM-3|MAM2|MAM3|MLL-MAML2</t>
  </si>
  <si>
    <t>MAMLD1</t>
  </si>
  <si>
    <t>CG1|CXorf6|F18|HYSP2</t>
  </si>
  <si>
    <t>MAN1B1</t>
  </si>
  <si>
    <t>ERMAN1|ERManI|MANA-ER|MRT15</t>
  </si>
  <si>
    <t>MAN2B1</t>
  </si>
  <si>
    <t>LAMAN|MANB</t>
  </si>
  <si>
    <t>DOOF (AR);IMMUUN (AR);LENGTE (AR);METAB (AR);MR (AR);OMIM (AR);PCS (AR)</t>
  </si>
  <si>
    <t>MAN2B2</t>
  </si>
  <si>
    <t>MANBA</t>
  </si>
  <si>
    <t>MANB1</t>
  </si>
  <si>
    <t>IMMUUN (AR);LENGTE (AR);METAB (AR);MR (AR);OMIM (AR);PCS (AR)</t>
  </si>
  <si>
    <t>MAOA</t>
  </si>
  <si>
    <t>BRNRS|MAO-A</t>
  </si>
  <si>
    <t>METAB (XL);MR (XL);OMIM (XL;XLR)</t>
  </si>
  <si>
    <t>MAP1B</t>
  </si>
  <si>
    <t>FUTSCH|MAP5|PPP1R102|PVNH9</t>
  </si>
  <si>
    <t>MAP1LC3B2</t>
  </si>
  <si>
    <t>ATG8G</t>
  </si>
  <si>
    <t>MAP2K1</t>
  </si>
  <si>
    <t>CFC3|MAPKK1|MEK1|MEL|MKK1|PRKMK1</t>
  </si>
  <si>
    <t>DERM (AD);LENGTE (AD);MR (AD);OMIM (UK,AR,AD,XL);RAS (AD);TUMOR (AD)</t>
  </si>
  <si>
    <t>MAP2K2</t>
  </si>
  <si>
    <t>CFC4|MAPKK2|MEK2|MKK2|PRKMK2</t>
  </si>
  <si>
    <t>MAP3K1</t>
  </si>
  <si>
    <t>MAPKKK1|MEKK|MEKK 1|MEKK1|SRXY6</t>
  </si>
  <si>
    <t>MAP3K14</t>
  </si>
  <si>
    <t>FTDCR1B|HS|HSNIK|NIK</t>
  </si>
  <si>
    <t>MAP3K20</t>
  </si>
  <si>
    <t>AZK|CNM6|MLK7|MLT|MLTK|MLTKalpha|MLTKbeta|MRK|SFMMP|ZAK|mlklak|pk</t>
  </si>
  <si>
    <t>LENGTE (AR);OMIM (AR);PCS (AR);SPIER (AR)</t>
  </si>
  <si>
    <t>MAP3K7</t>
  </si>
  <si>
    <t>CSCF|FMD2|MEKK7|TAK1|TGF1a</t>
  </si>
  <si>
    <t>MAP3K8</t>
  </si>
  <si>
    <t>AURA2|COT|EST|ESTF|MEKK8|TPL2|Tpl-2|c-COT</t>
  </si>
  <si>
    <t>MAP4K4</t>
  </si>
  <si>
    <t>FLH21957|HEL-S-31|HGK|MEKKK4|NIK</t>
  </si>
  <si>
    <t>MAPK8</t>
  </si>
  <si>
    <t>JNK|JNK-46|JNK1|JNK1A2|JNK21B1/2|PRKM8|SAPK1|SAPK1c</t>
  </si>
  <si>
    <t>ANEURYSM (AD);IMMUUN (AD);OMIM (AD)</t>
  </si>
  <si>
    <t>MAPK8IP3</t>
  </si>
  <si>
    <t>JIP-3|JIP3|JSAP1|NEDBA|SYD2|syd</t>
  </si>
  <si>
    <t>MAPKAPK3</t>
  </si>
  <si>
    <t>3PK|MAPKAP-K3|MAPKAP3|MAPKAPK-3|MDPT3|MK-3|MK3</t>
  </si>
  <si>
    <t>MAPKBP1</t>
  </si>
  <si>
    <t>JNKBP-1|JNKBP1|NPHP20</t>
  </si>
  <si>
    <t>MAPRE2</t>
  </si>
  <si>
    <t>CSCSC2|EB1|EB2|RP1</t>
  </si>
  <si>
    <t>MAPT</t>
  </si>
  <si>
    <t>DDPAC|FTDP-17|MAPTL|MSTD|MTBT1|MTBT2|PPND|PPP1R103|TAU|tau-40</t>
  </si>
  <si>
    <t>OMIM (AD;AR;AD,AR);PARK (AD);PCS (AR)</t>
  </si>
  <si>
    <t>MARCHF6</t>
  </si>
  <si>
    <t>DOA10|FAME3|MARCH-VI|MARCH6|RNF176|TEB4</t>
  </si>
  <si>
    <t>MARK3</t>
  </si>
  <si>
    <t>CTAK1|KP78|PAR1A|Par-1a|VIPB</t>
  </si>
  <si>
    <t>MARS1</t>
  </si>
  <si>
    <t>CMT2U|ILFS2|ILLD|MARS|METRS|MRS|MTRNS|SPG70</t>
  </si>
  <si>
    <t>HMSN (AD,AR);LEVER (AR);OMIM (AR;AD,AR);PCS (AR)</t>
  </si>
  <si>
    <t>MARS2</t>
  </si>
  <si>
    <t>COXPD25|MetRS|mtMetRS</t>
  </si>
  <si>
    <t>BEWEGING (AR);OMIM (AR);OXPHOS (AR);PCS (AR)</t>
  </si>
  <si>
    <t>MARVELD2</t>
  </si>
  <si>
    <t>DFNB49|MARVD2|MRVLDC2|Tric</t>
  </si>
  <si>
    <t>MASP1</t>
  </si>
  <si>
    <t>3MC1|CRARF|CRARF1|MAP1|MASP|MASP3|MAp44|PRSS5|RaRF</t>
  </si>
  <si>
    <t>CFA (AR);MR (AR);OMIM (AR);PCS (AR);SCHISIS (AR)</t>
  </si>
  <si>
    <t>MASP2</t>
  </si>
  <si>
    <t>MAP19|MASP-2|MASP1P1|sMAP</t>
  </si>
  <si>
    <t>MAST1</t>
  </si>
  <si>
    <t>MCCCHCM|SAST</t>
  </si>
  <si>
    <t>MASTL</t>
  </si>
  <si>
    <t>GREATWALL|GW|GWL|MAST-L|THC2</t>
  </si>
  <si>
    <t>MAT1A</t>
  </si>
  <si>
    <t>MAT|MATA1|SAMS|SAMS1</t>
  </si>
  <si>
    <t>METAB (AR);MR (AR);OMIM (AR;AD,AR);PCS (AR)</t>
  </si>
  <si>
    <t>MAT2A</t>
  </si>
  <si>
    <t>MATA2|MATII|SAMS2</t>
  </si>
  <si>
    <t>MATN3</t>
  </si>
  <si>
    <t>DIPOA|EDM5|HOA|OADIP|OS2|SEMDBCD</t>
  </si>
  <si>
    <t>MATR3</t>
  </si>
  <si>
    <t>ALS21|MPD2|VCPDM</t>
  </si>
  <si>
    <t>MAX</t>
  </si>
  <si>
    <t>bHLHd4</t>
  </si>
  <si>
    <t>MBD5</t>
  </si>
  <si>
    <t>MRD1</t>
  </si>
  <si>
    <t>MBL2</t>
  </si>
  <si>
    <t>COLEC1|HSMBPC|MBL|MBL2D|MBP|MBP-C|MBP1|MBPD</t>
  </si>
  <si>
    <t>MBOAT7</t>
  </si>
  <si>
    <t>BB1|LENG4|LPIAT|LPLAT|LRC4|MBOA7|MRT57|OACT7|hMBOA-7</t>
  </si>
  <si>
    <t>MBTPS1</t>
  </si>
  <si>
    <t>PCSK8|S1P|SEDKF|SKI-1</t>
  </si>
  <si>
    <t>MBTPS2</t>
  </si>
  <si>
    <t>BRESEK|IFAP|KFSD|KFSDX|OI19|OLMSX|S2P</t>
  </si>
  <si>
    <t>DERM (XL);LENGTE (XL);MR (XL);OMIM (XLR);SCHISIS (XLR)</t>
  </si>
  <si>
    <t>MC1R</t>
  </si>
  <si>
    <t>CMM5|MSH-R|SHEP2</t>
  </si>
  <si>
    <t>MELANOOM (AD,AR);OMIM (AD,AR)</t>
  </si>
  <si>
    <t>MC2R</t>
  </si>
  <si>
    <t>ACTHR</t>
  </si>
  <si>
    <t>DSD (AR);IMMUUN (AR);OMIM (AR);PCS (AR)</t>
  </si>
  <si>
    <t>MC4R</t>
  </si>
  <si>
    <t>BMIQ20</t>
  </si>
  <si>
    <t>MCC</t>
  </si>
  <si>
    <t>MCC1</t>
  </si>
  <si>
    <t>MCCC1</t>
  </si>
  <si>
    <t>MCC-B|MCCA</t>
  </si>
  <si>
    <t>MCCC2</t>
  </si>
  <si>
    <t>MCCB</t>
  </si>
  <si>
    <t>MCEE</t>
  </si>
  <si>
    <t>GLOD2|MCE</t>
  </si>
  <si>
    <t>MCFD2</t>
  </si>
  <si>
    <t>F5F8D|F5F8D2|LMAN1IP|SDNSF</t>
  </si>
  <si>
    <t>HEMOS (AD,AR);OMIM (UK,AR,AD,XL;AD,AR);PCS (AR)</t>
  </si>
  <si>
    <t>MCIDAS</t>
  </si>
  <si>
    <t>CILD42|IDAS|MCI|MCIN</t>
  </si>
  <si>
    <t>MCM10</t>
  </si>
  <si>
    <t>CNA43|DNA43|PRO2249</t>
  </si>
  <si>
    <t>MCM2</t>
  </si>
  <si>
    <t>BM28|CCNL1|CDCL1|D3S3194|DFNA70|MITOTIN|cdc19</t>
  </si>
  <si>
    <t>MCM3AP</t>
  </si>
  <si>
    <t>GANP|MAP80|PNRIID|SAC3</t>
  </si>
  <si>
    <t>MCM4</t>
  </si>
  <si>
    <t>CDC21|CDC54|IMD54|NKCD|NKGCD|P1-CDC21|hCdc21</t>
  </si>
  <si>
    <t>MCM5</t>
  </si>
  <si>
    <t>CDC46|MGORS8|P1-CDC46</t>
  </si>
  <si>
    <t>MCM6</t>
  </si>
  <si>
    <t>MCG40308|Mis5|P105MCM</t>
  </si>
  <si>
    <t>MCM8</t>
  </si>
  <si>
    <t>C20orf154|POF10|dJ967N21.5</t>
  </si>
  <si>
    <t>MCM9</t>
  </si>
  <si>
    <t>C6orf61|MCMDC1|ODG4|dJ329L24.1|dJ329L24.3</t>
  </si>
  <si>
    <t>DSD (AR);OMIM (AR);PCS (AR);TUMOR (AR)</t>
  </si>
  <si>
    <t>MCOLN1</t>
  </si>
  <si>
    <t>MG-2|ML1|ML4|MLIV|MST080|MSTP080|TRP-ML1|TRPM-L1|TRPML1</t>
  </si>
  <si>
    <t>MCPH1</t>
  </si>
  <si>
    <t>BRIT1|MCT</t>
  </si>
  <si>
    <t>MCTP2</t>
  </si>
  <si>
    <t>MCUR1</t>
  </si>
  <si>
    <t>C6orf79|CCDC90A|FMP32</t>
  </si>
  <si>
    <t>MDH1</t>
  </si>
  <si>
    <t>DEE88|EIEE88|HEL-S-32|KAR|MDH-s|MDHA|MGC:1375|MOR2</t>
  </si>
  <si>
    <t>MDH2</t>
  </si>
  <si>
    <t>DEE51|EIEE51|M-MDH|MDH|MGC:3559|MOR1</t>
  </si>
  <si>
    <t>MR (AR);OMIM (AR;AD);OXPHOS (AR);PCS (AR);TUMOR (AD)</t>
  </si>
  <si>
    <t>MDM4</t>
  </si>
  <si>
    <t>BMFS6|HDMX|MDMX|MRP1</t>
  </si>
  <si>
    <t>MECOM</t>
  </si>
  <si>
    <t>AML1-EVI-1|EVI1|KMT8E|MDS1|MDS1-EVI1|PRDM3|RUSAT2</t>
  </si>
  <si>
    <t>MECP2</t>
  </si>
  <si>
    <t>AUTSX3|MRX16|MRX79|MRXS13|MRXSL|PPMX|RS|RTS|RTT</t>
  </si>
  <si>
    <t>MECR</t>
  </si>
  <si>
    <t>CGI-63|DYTOABG|ETR1|FASN2B|NRBF1</t>
  </si>
  <si>
    <t>MED12</t>
  </si>
  <si>
    <t>ARC240|CAGH45|FGS1|HOPA|Kto|MED12S|OHDOX|OKS|OPA1|TNRC11|TRAP230</t>
  </si>
  <si>
    <t>ANEURYSM (XLR);CFA (XL);DERM (XL);EPI (XL);MR (XL);OMIM (XL;XLR)</t>
  </si>
  <si>
    <t>MED13</t>
  </si>
  <si>
    <t>ARC250|DRIP250|HSPC221|MRD61|THRAP1|TRAP240</t>
  </si>
  <si>
    <t>MED13L</t>
  </si>
  <si>
    <t>MRFACD|PROSIT240|THRAP2|TRAP240L</t>
  </si>
  <si>
    <t>CHD (AD,AR);HART (AD,AR);MR (AD);OMIM (AD;AD,AR)</t>
  </si>
  <si>
    <t>MED17</t>
  </si>
  <si>
    <t>CRSP6|CRSP77|DRIP80|SRB4|TRAP80</t>
  </si>
  <si>
    <t>MED23</t>
  </si>
  <si>
    <t>ARC130|CRSP130|CRSP133|CRSP3|DRIP130|MRT18|SUR-2|SUR2</t>
  </si>
  <si>
    <t>MED25</t>
  </si>
  <si>
    <t>ACID1|ARC92|BVSYS|CMT2B2|P78|PTOV2|TCBAP0758</t>
  </si>
  <si>
    <t>HMSN (AR);MR (AR);OMIM (AR);PCS (AR);SCHISIS (AR)</t>
  </si>
  <si>
    <t>MEF2C</t>
  </si>
  <si>
    <t>C5DELq14.3|DEL5q14.3</t>
  </si>
  <si>
    <t>MEFV</t>
  </si>
  <si>
    <t>FMF|MEF|PAAND|TRIM20</t>
  </si>
  <si>
    <t>DERM (AD,AR);IMMUUN (AD,AR);OMIM (AR;AD,AR);PCS (AR)</t>
  </si>
  <si>
    <t>MEGF10</t>
  </si>
  <si>
    <t>EMARDD|SR-F3</t>
  </si>
  <si>
    <t>MEGF8</t>
  </si>
  <si>
    <t>C19orf49|CRPT2|EGFL4|SBP1</t>
  </si>
  <si>
    <t>CFA (AR);LENGTE (AR);MR (AR);OMIM (AR);PCS (AR)</t>
  </si>
  <si>
    <t>MEI1</t>
  </si>
  <si>
    <t>HYDM3|SPATA38</t>
  </si>
  <si>
    <t>MEIOB</t>
  </si>
  <si>
    <t>C16orf73|SPGF22|gs129</t>
  </si>
  <si>
    <t>MEIS2</t>
  </si>
  <si>
    <t>CPCMR|HsT18361|MRG1</t>
  </si>
  <si>
    <t>CFA (AD);MR (AD);OMIM (AD);SCHISIS (AD)</t>
  </si>
  <si>
    <t>MEN1</t>
  </si>
  <si>
    <t>MEAI|SCG2</t>
  </si>
  <si>
    <t>MEOX1</t>
  </si>
  <si>
    <t>KFS2|MOX1</t>
  </si>
  <si>
    <t>MERTK</t>
  </si>
  <si>
    <t>MER|RP38|Tyro12|c-Eyk|c-mer</t>
  </si>
  <si>
    <t>MESD</t>
  </si>
  <si>
    <t>BOCA|MESDC2|OI20</t>
  </si>
  <si>
    <t>MESP2</t>
  </si>
  <si>
    <t>SCDO2|bHLHc6</t>
  </si>
  <si>
    <t>MET</t>
  </si>
  <si>
    <t>AUTS9|DFNB97|HGFR|RCCP2|c-Met</t>
  </si>
  <si>
    <t>DOOF (AR);LENGTE (AD);OMIM (AR;AD);PCS (AR);TUMOR (AD)</t>
  </si>
  <si>
    <t>METTL23</t>
  </si>
  <si>
    <t>C17orf95|MRT44</t>
  </si>
  <si>
    <t>METTL5</t>
  </si>
  <si>
    <t>HSPC133|MRT72</t>
  </si>
  <si>
    <t>MFAP5</t>
  </si>
  <si>
    <t>AAT9|MAGP-2|MAGP2|MFAP-5|MP25</t>
  </si>
  <si>
    <t>MFF</t>
  </si>
  <si>
    <t>C2orf33|EMPF2|GL004</t>
  </si>
  <si>
    <t>MFN2</t>
  </si>
  <si>
    <t>CMT2A|CMT2A2|CMT2A2A|CMT2A2B|CPRP1|HMSN6A|HSG|MARF</t>
  </si>
  <si>
    <t>BLIND (AD);HMSN (AD);OMIM (AR;AD;AD,AR);OXPHOS (AR);PCS (AR)</t>
  </si>
  <si>
    <t>MFRP</t>
  </si>
  <si>
    <t>CTRP5|MCOP5|NNO2|RD6</t>
  </si>
  <si>
    <t>MFSD2A</t>
  </si>
  <si>
    <t>MCPH15|MFSD2|NEDMISBA|NLS1|SLC59A1</t>
  </si>
  <si>
    <t>MFSD8</t>
  </si>
  <si>
    <t>CCMD|CLN7</t>
  </si>
  <si>
    <t>MGAT2</t>
  </si>
  <si>
    <t>CDG2A|CDGS2|GLCNACTII|GNT-II|GNT2</t>
  </si>
  <si>
    <t>MGME1</t>
  </si>
  <si>
    <t>C20orf72|DDK1|MTDPS11|bA504H3.4</t>
  </si>
  <si>
    <t>MGP</t>
  </si>
  <si>
    <t>GIG36|MGLAP|NTI</t>
  </si>
  <si>
    <t>DERM (AR);DOOF (AR);LENGTE (AR);MR (AR);OMIM (AR);PCS (AR)</t>
  </si>
  <si>
    <t>MIA3</t>
  </si>
  <si>
    <t>ARNT|D320|TANGO|TANGO1|UNQ6077</t>
  </si>
  <si>
    <t>MIB1</t>
  </si>
  <si>
    <t>DIP-1|DIP1|LVNC7|MIB|ZZANK2|ZZZ6</t>
  </si>
  <si>
    <t>MICOS13</t>
  </si>
  <si>
    <t>C19orf70|MIC12|MIC13|P117|QIL1</t>
  </si>
  <si>
    <t>MICU1</t>
  </si>
  <si>
    <t>CALC|CBARA1|EFHA3|MPXPS|ara CALC</t>
  </si>
  <si>
    <t>BEWEGING (AR);MR (AR);OMIM (AR);OXPHOS (AR);PCS (AR);SPIER (AR)</t>
  </si>
  <si>
    <t>MICU2</t>
  </si>
  <si>
    <t>1110008L20Rik|EFHA1</t>
  </si>
  <si>
    <t>MID1</t>
  </si>
  <si>
    <t>BBBG1|FXY|GBBB1|MIDIN|OGS1|OS|OSX|RNF59|TRIM18|XPRF|ZNFXY</t>
  </si>
  <si>
    <t>CFA (XL);MR (XL);OMIM (XL;XLR);SCHISIS (XLR)</t>
  </si>
  <si>
    <t>MID2</t>
  </si>
  <si>
    <t>FXY2|MRX101|RNF60|TRIM1</t>
  </si>
  <si>
    <t>MIEF2</t>
  </si>
  <si>
    <t>COXPD49|MID49|SMCR7</t>
  </si>
  <si>
    <t>MINPP1</t>
  </si>
  <si>
    <t>HIPER1|MINPP2|MIPP</t>
  </si>
  <si>
    <t>MIP</t>
  </si>
  <si>
    <t>AQP0|CTRCT15|LIM1|MIP26|MP26</t>
  </si>
  <si>
    <t>MIPEP</t>
  </si>
  <si>
    <t>COXPD31|HMIP|MIP</t>
  </si>
  <si>
    <t>MIR140</t>
  </si>
  <si>
    <t>MIRN140|SEDN|miRNA140|mir-140</t>
  </si>
  <si>
    <t>MIR17HG</t>
  </si>
  <si>
    <t>C13orf25|FGLDS2|LINC00048|MIHG1|MIRH1|MIRHG1|NCRNA00048|miR-17-92</t>
  </si>
  <si>
    <t>MIR184</t>
  </si>
  <si>
    <t>EDICT|MIRN184|miR-184</t>
  </si>
  <si>
    <t>MIR204</t>
  </si>
  <si>
    <t>MIRN204|RDICC|miRNA204|mir-204</t>
  </si>
  <si>
    <t>MIR96</t>
  </si>
  <si>
    <t>DFNA50|MIRN96|hsa-mir-96|miR-96|miRNA96</t>
  </si>
  <si>
    <t>MITF</t>
  </si>
  <si>
    <t>CMM8|COMMAD|MI|WS2|WS2A|bHLHe32</t>
  </si>
  <si>
    <t>BLIND (AD);CFA (AD);DERM (AD);DOOF (AD,AR);MELANOOM (AD);OMIM (AD,AR);PCS (AR);TUMOR (AD)</t>
  </si>
  <si>
    <t>MKKS</t>
  </si>
  <si>
    <t>BBS6|HMCS|KMS|MKS</t>
  </si>
  <si>
    <t>MKRN3</t>
  </si>
  <si>
    <t>CPPB2|D15S9|RNF63|ZFP127|ZNF127</t>
  </si>
  <si>
    <t>DSD (AD,IMP);OMIM (AD,IMP)</t>
  </si>
  <si>
    <t>MKS1</t>
  </si>
  <si>
    <t>BBS13|JBTS28|MES|MKS|POC12</t>
  </si>
  <si>
    <t>MLC1</t>
  </si>
  <si>
    <t>LVM|MLC|VL</t>
  </si>
  <si>
    <t>MLH1</t>
  </si>
  <si>
    <t>COCA2|FCC2|HNPCC|HNPCC2|MMRCS1|hMLH1</t>
  </si>
  <si>
    <t>BMF (AD,AR);DERM (AD);OMIM (AD;AD,AR);PCS (AR);TUMOR (AD,AR)</t>
  </si>
  <si>
    <t>MLH3</t>
  </si>
  <si>
    <t>HNPCC7</t>
  </si>
  <si>
    <t>MLIP</t>
  </si>
  <si>
    <t>C6orf142|CIP</t>
  </si>
  <si>
    <t>OMIM (AR);SPIER (AR)</t>
  </si>
  <si>
    <t>MLLT10</t>
  </si>
  <si>
    <t>AF10</t>
  </si>
  <si>
    <t>MLLT6</t>
  </si>
  <si>
    <t>AF17</t>
  </si>
  <si>
    <t>MLPH</t>
  </si>
  <si>
    <t>SLAC2-A</t>
  </si>
  <si>
    <t>DERM (AR);HEMOS (AR);OMIM (AR);PCS (AR)</t>
  </si>
  <si>
    <t>MLYCD</t>
  </si>
  <si>
    <t>MCD</t>
  </si>
  <si>
    <t>HART (AR);METAB (AR);MR (AR);OMIM (AR);PCS (AR)</t>
  </si>
  <si>
    <t>MMAA</t>
  </si>
  <si>
    <t>cblA</t>
  </si>
  <si>
    <t>MMAB</t>
  </si>
  <si>
    <t>ATR|CFAP23|cblB|cob</t>
  </si>
  <si>
    <t>MMACHC</t>
  </si>
  <si>
    <t>cblC</t>
  </si>
  <si>
    <t>DERM (AR);METAB (AR);MR (AR);NIER (AR);OMIM (AR);PCS (AR)</t>
  </si>
  <si>
    <t>MMADHC</t>
  </si>
  <si>
    <t>C2orf25|CL25022|cblD</t>
  </si>
  <si>
    <t>MME</t>
  </si>
  <si>
    <t>CALLA|CD10|CMT2T|NEP|SCA43|SFE</t>
  </si>
  <si>
    <t>HMSN (AD,AR);HNPD (AD,AR);OMIM (AD,AR);PCS (AR)</t>
  </si>
  <si>
    <t>MMP1</t>
  </si>
  <si>
    <t>CLG|CLGN</t>
  </si>
  <si>
    <t>ANEURYSM (AD);OMIM (UK,AR,AD,XL)</t>
  </si>
  <si>
    <t>MMP10</t>
  </si>
  <si>
    <t>SL-2|STMY2</t>
  </si>
  <si>
    <t>MMP12</t>
  </si>
  <si>
    <t>HME|ME|MME|MMP-12</t>
  </si>
  <si>
    <t>MMP13</t>
  </si>
  <si>
    <t>CLG3|MANDP1|MDST|MMP-13</t>
  </si>
  <si>
    <t>ANEURYSM (AD);LENGTE (AD,AR);OMIM (AD,AR);PCS (AR)</t>
  </si>
  <si>
    <t>MMP14</t>
  </si>
  <si>
    <t>MMP-14|MMP-X1|MT-MMP|MT-MMP 1|MT1-MMP|MT1MMP|MTMMP1|WNCHRS</t>
  </si>
  <si>
    <t>LENGTE (AR);OMIM (AR;UK,AR,AD,XL);PCS (AR)</t>
  </si>
  <si>
    <t>MMP19</t>
  </si>
  <si>
    <t>CODA|MMP18|RASI-1</t>
  </si>
  <si>
    <t>MMP2</t>
  </si>
  <si>
    <t>CLG4|CLG4A|MMP-2|MMP-II|MONA|TBE-1</t>
  </si>
  <si>
    <t>ANEURYSM (AD);DERM (AR);LENGTE (AR);OMIM (AR;AD);PCS (AR)</t>
  </si>
  <si>
    <t>MMP20</t>
  </si>
  <si>
    <t>AI2A2|MMP-20</t>
  </si>
  <si>
    <t>MMP21</t>
  </si>
  <si>
    <t>HTX7|MMP-21</t>
  </si>
  <si>
    <t>CHD (AR);CILIO (AR);HART (AR);OMIM (UK,AR,AD,XL);PCS (UK,AR,AD,XL)</t>
  </si>
  <si>
    <t>MMP3</t>
  </si>
  <si>
    <t>CHDS6|MMP-3|SL-1|STMY|STMY1|STR1</t>
  </si>
  <si>
    <t>MMP7</t>
  </si>
  <si>
    <t>MMP-7|MPSL1|PUMP-1</t>
  </si>
  <si>
    <t>MMP8</t>
  </si>
  <si>
    <t>CLG1|HNC|MMP-8|PMNL-CL</t>
  </si>
  <si>
    <t>MMP9</t>
  </si>
  <si>
    <t>CLG4B|GELB|MANDP2|MMP-9</t>
  </si>
  <si>
    <t>ANEURYSM (AD);LENGTE (AR);OMIM (UK,AR,AD,XL);PCS (AR)</t>
  </si>
  <si>
    <t>MMUT</t>
  </si>
  <si>
    <t>MCM|MUT</t>
  </si>
  <si>
    <t>MN1</t>
  </si>
  <si>
    <t>CEBALID|MGCR|MGCR1|MGCR1-PEN|dJ353E16.2</t>
  </si>
  <si>
    <t>MNX1</t>
  </si>
  <si>
    <t>HB9|HLXB9|HOXHB9|SCRA1</t>
  </si>
  <si>
    <t>MOCOS</t>
  </si>
  <si>
    <t>HMCS|MCS|MOS</t>
  </si>
  <si>
    <t>MOCS1</t>
  </si>
  <si>
    <t>MIG11|MOCOD|MOCS1A|MOCS1B</t>
  </si>
  <si>
    <t>MOCS2</t>
  </si>
  <si>
    <t>MCBPE|MOCO1|MOCODB|MPTS</t>
  </si>
  <si>
    <t>MOG</t>
  </si>
  <si>
    <t>BTN6|BTNL11|MOGIG2|NRCLP7</t>
  </si>
  <si>
    <t>MOGS</t>
  </si>
  <si>
    <t>CDG2B|CWH41|DER7|GCS1</t>
  </si>
  <si>
    <t>MORC2</t>
  </si>
  <si>
    <t>CMT2Z|DIGFAN|ZCW3|ZCWCC1</t>
  </si>
  <si>
    <t>MPC1</t>
  </si>
  <si>
    <t>BRP44L|CGI-129|MPYCD|SLC54A1</t>
  </si>
  <si>
    <t>MPDU1</t>
  </si>
  <si>
    <t>CDGIF|HBEBP2BPA|Lec35|My008|PP3958|PQLC5|SL15|SLC66A5</t>
  </si>
  <si>
    <t>MPDZ</t>
  </si>
  <si>
    <t>HYC2|MUPP1</t>
  </si>
  <si>
    <t>EPI (AR);MR (AD);OMIM (AR;AD);PCS (AR)</t>
  </si>
  <si>
    <t>MPI</t>
  </si>
  <si>
    <t>CDG1B|PMI|PMI1</t>
  </si>
  <si>
    <t>MPIG6B</t>
  </si>
  <si>
    <t>C6orf25|G6b|G6b-B|NG31|THAMY</t>
  </si>
  <si>
    <t>MPL</t>
  </si>
  <si>
    <t>C-MPL|CD110|MPLV|THCYT2|THPOR|TPOR</t>
  </si>
  <si>
    <t>BMF (AD,AR);HEMOS (AD,AR);IJZER (UK,AR,AD,XL);OMIM (UK,AR,AD,XL;AD,AR);PCS (AR);TUMOR (AR)</t>
  </si>
  <si>
    <t>MPLKIP</t>
  </si>
  <si>
    <t>ABHS|C7orf11|ORF20|TTD4</t>
  </si>
  <si>
    <t>MPO</t>
  </si>
  <si>
    <t>MPV17</t>
  </si>
  <si>
    <t>CMT2EE|MTDPS6|SYM1</t>
  </si>
  <si>
    <t>HMSN (AR);LEVER (AR);OMIM (AR);OXPHOS (AR);PCS (AR)</t>
  </si>
  <si>
    <t>MPZ</t>
  </si>
  <si>
    <t>CHM|CHN2|CMT1|CMT1B|CMT2I|CMT2J|CMT4E|CMTDI3|CMTDID|DSS|HMSNIB|MPP|P0</t>
  </si>
  <si>
    <t>AKI (AD,AR);HMSN (AD);HNPD (AD);OMIM (AD,AR);PCS (AR)</t>
  </si>
  <si>
    <t>MPZL2</t>
  </si>
  <si>
    <t>DFNB111|EVA|EVA1</t>
  </si>
  <si>
    <t>MRAP</t>
  </si>
  <si>
    <t>B27|C21orf61|FALP|FGD2|GCCD2</t>
  </si>
  <si>
    <t>MRAS</t>
  </si>
  <si>
    <t>M-RAs|NS11|R-RAS3|RRAS3</t>
  </si>
  <si>
    <t>MRE11</t>
  </si>
  <si>
    <t>ATLD|HNGS1|MRE11A|MRE11B</t>
  </si>
  <si>
    <t>BEWEGING (AR);BRSTKNK (AR);DERM (AR);IMMUUN (AR);OMIM (AR);PCS (AR);TUMOR (AR)</t>
  </si>
  <si>
    <t>MRM2</t>
  </si>
  <si>
    <t>FJH1|FTSJ2|HEL97|MTDPS17|RRMJ2</t>
  </si>
  <si>
    <t>MRPL12</t>
  </si>
  <si>
    <t>5c5-2|L12mt|MRP-L31/34|MRPL7|MRPL7/L12|RPML12</t>
  </si>
  <si>
    <t>MRPL24</t>
  </si>
  <si>
    <t>L24mt|MRP-L18|MRP-L24</t>
  </si>
  <si>
    <t>MRPL3</t>
  </si>
  <si>
    <t>COXPD9|MRL3|RPML3</t>
  </si>
  <si>
    <t>MRPL40</t>
  </si>
  <si>
    <t>L40mt|MRP-L22|MRP-L40|MRPL22|NLVCF|URIM</t>
  </si>
  <si>
    <t>MRPL44</t>
  </si>
  <si>
    <t>COXPD16|L44MT|MRP-L44</t>
  </si>
  <si>
    <t>MRPL57</t>
  </si>
  <si>
    <t>MRP63|bMRP63</t>
  </si>
  <si>
    <t>MRPS14</t>
  </si>
  <si>
    <t>COXPD38|DJ262D12.2|HSMRPS14|MRP-S14|S14mt</t>
  </si>
  <si>
    <t>MRPS16</t>
  </si>
  <si>
    <t>CGI-132|COXPD2|MRP-S16|RPMS16</t>
  </si>
  <si>
    <t>MRPS2</t>
  </si>
  <si>
    <t>CGI-91|COXPD36|MRP-S2|S2mt</t>
  </si>
  <si>
    <t>MRPS22</t>
  </si>
  <si>
    <t>C3orf5|COXPD5|GIBT|GK002|MRP-S22|ODG7|RPMS22</t>
  </si>
  <si>
    <t>MRPS23</t>
  </si>
  <si>
    <t>CGI-138|COXPD46|HSPC329|MRP-S23</t>
  </si>
  <si>
    <t>MRPS25</t>
  </si>
  <si>
    <t>COXPD50|MRP-S25|RPMS25</t>
  </si>
  <si>
    <t>MRPS28</t>
  </si>
  <si>
    <t>COXPD47|HSPC007|MRP-S28|MRP-S35|MRPS35</t>
  </si>
  <si>
    <t>MRPS34</t>
  </si>
  <si>
    <t>COXPD32|MRP-S12|MRP-S34|MRPS12</t>
  </si>
  <si>
    <t>MRPS36</t>
  </si>
  <si>
    <t>DC47|MRP-S36</t>
  </si>
  <si>
    <t>MRPS7</t>
  </si>
  <si>
    <t>COXPD34|MRP-S|MRP-S7|RP-S7|RPMS7|S7mt|bMRP27a</t>
  </si>
  <si>
    <t>MRRF</t>
  </si>
  <si>
    <t>MRFF|MTRRF|RRF</t>
  </si>
  <si>
    <t>MRTFA</t>
  </si>
  <si>
    <t>BSAC|MAL|MKL|MKL1|MRTF-A</t>
  </si>
  <si>
    <t>MS4A1</t>
  </si>
  <si>
    <t>B1|Bp35|CD20|CVID5|FMC7|LEU-16|MS4A2|S7</t>
  </si>
  <si>
    <t>ANEURYSM (AD);IMMUUN (AR);OMIM (AR;AD);PCS (AR)</t>
  </si>
  <si>
    <t>MSH2</t>
  </si>
  <si>
    <t>COCA1|FCC1|HNPCC|HNPCC1|LCFS2|MMRCS2|hMSH2</t>
  </si>
  <si>
    <t>BMF (AD,AR);DERM (AD,AR);OMIM (AD,AR);PCS (AR);TUMOR (AD,AR)</t>
  </si>
  <si>
    <t>MSH3</t>
  </si>
  <si>
    <t>DUP|FAP4|MRP1</t>
  </si>
  <si>
    <t>OMIM (AR);PCS (AR);TUMOR (AR)</t>
  </si>
  <si>
    <t>MSH5</t>
  </si>
  <si>
    <t>G7|MUTSH5|NG23|POF13</t>
  </si>
  <si>
    <t>MSH6</t>
  </si>
  <si>
    <t>GTBP|GTMBP|HNPCC5|HSAP|MMRCS3|p160</t>
  </si>
  <si>
    <t>BMF (AD,AR);OMIM (AR;AD,AR);PCS (AR);TUMOR (AD,AR)</t>
  </si>
  <si>
    <t>MSL3</t>
  </si>
  <si>
    <t>MRSXBA|MRXS36|MRXSBA|MSL3L1</t>
  </si>
  <si>
    <t>MR (XL);OMIM (UK,AR,AD,XL)</t>
  </si>
  <si>
    <t>MSMO1</t>
  </si>
  <si>
    <t>DESP4|ERG25|MCCPD|SC4MOL</t>
  </si>
  <si>
    <t>MSN</t>
  </si>
  <si>
    <t>HEL70|IMD50</t>
  </si>
  <si>
    <t>IMMUUN (XLR);OMIM (XLR)</t>
  </si>
  <si>
    <t>MSR1</t>
  </si>
  <si>
    <t>CD204|SCARA1|SR-A|SR-AI|SR-AII|SR-AIII|SRA|phSR1|phSR2</t>
  </si>
  <si>
    <t>MSRB3</t>
  </si>
  <si>
    <t>DFNB74</t>
  </si>
  <si>
    <t>MSTN</t>
  </si>
  <si>
    <t>GDF8|MSLHP</t>
  </si>
  <si>
    <t>OMIM (UK,AR,AD,XL);SPIER (AD)</t>
  </si>
  <si>
    <t>MSTO1</t>
  </si>
  <si>
    <t>LST005|MMYAT|MST</t>
  </si>
  <si>
    <t>OMIM (AD,AR);OXPHOS (AR);PCS (AR)</t>
  </si>
  <si>
    <t>MSX1</t>
  </si>
  <si>
    <t>ECTD3|HOX7|HYD1|STHAG1</t>
  </si>
  <si>
    <t>CFA (AD);DERM (AD,AR);OMIM (AD;AD,AR);SCHISIS (AD)</t>
  </si>
  <si>
    <t>MSX2</t>
  </si>
  <si>
    <t>CRS2|FPP|HOX8|MSH|PFM|PFM1</t>
  </si>
  <si>
    <t>MTA1</t>
  </si>
  <si>
    <t>MTAP</t>
  </si>
  <si>
    <t>BDMF|DMSFH|DMSMFH|HEL-249|LGMBF|MSAP|c86fus</t>
  </si>
  <si>
    <t>MTFMT</t>
  </si>
  <si>
    <t>COXPD15|FMT1|MC1DN27</t>
  </si>
  <si>
    <t>MTHFD1</t>
  </si>
  <si>
    <t>CIMAH|MTHFC|MTHFD</t>
  </si>
  <si>
    <t>MTHFR</t>
  </si>
  <si>
    <t>ANEURYSM (AD);BEWEGING (AR);EPI (AR);HEMOS (AD);METAB (AR);MR (AR);OMIM (AR;AD);PCS (AR)</t>
  </si>
  <si>
    <t>MTHFS</t>
  </si>
  <si>
    <t>HsT19268|NEDMEHM</t>
  </si>
  <si>
    <t>MTM1</t>
  </si>
  <si>
    <t>CNM|MTMX|XLMTM</t>
  </si>
  <si>
    <t>AKI (XLR);LEVER (XLR);METAB (XL);OMIM (XLR);SPIER (XL)</t>
  </si>
  <si>
    <t>MTMR2</t>
  </si>
  <si>
    <t>CMT4B|CMT4B1</t>
  </si>
  <si>
    <t>HMSN (AR);METAB (AR);OMIM (AR);PCS (AR)</t>
  </si>
  <si>
    <t>MTO1</t>
  </si>
  <si>
    <t>CGI-02|COXPD10</t>
  </si>
  <si>
    <t>MTOR</t>
  </si>
  <si>
    <t>FRAP|FRAP1|FRAP2|RAFT1|RAPT1|SKS</t>
  </si>
  <si>
    <t>MTPAP</t>
  </si>
  <si>
    <t>PAPD1|SPAX4|TENT6</t>
  </si>
  <si>
    <t>MTR</t>
  </si>
  <si>
    <t>HMAG|MS|cblG</t>
  </si>
  <si>
    <t>MTRFR</t>
  </si>
  <si>
    <t>C12orf65|COXPD7|SPG55</t>
  </si>
  <si>
    <t>C12orf65</t>
  </si>
  <si>
    <t>BEWEGING (AR);BLIND (AR);HMSN (AR);MR (AR);OMIM (AR);OXPHOS (AR);PCS (AR)</t>
  </si>
  <si>
    <t>MTRR</t>
  </si>
  <si>
    <t>MSR|cblE</t>
  </si>
  <si>
    <t>MTTP</t>
  </si>
  <si>
    <t>ABL|MTP</t>
  </si>
  <si>
    <t>MTX2</t>
  </si>
  <si>
    <t>MDPS|metaxin-2</t>
  </si>
  <si>
    <t>MUC1</t>
  </si>
  <si>
    <t>ADMCKD|ADMCKD1|ADTKD2|CA 15-3|CD227|EMA|H23AG|KL-6|MAM6|MCD|MCKD|MCKD1|MUC-1|MUC-1/SEC|MUC-1/X|MUC1/ZD|PEM|PEMT|PUM</t>
  </si>
  <si>
    <t>MUSK</t>
  </si>
  <si>
    <t>CMS9|FADS|FADS1</t>
  </si>
  <si>
    <t>MUTYH</t>
  </si>
  <si>
    <t>MYH</t>
  </si>
  <si>
    <t>DERM (AR);OMIM (AR;UK,AR,AD,XL);PCS (AR);TUMOR (AR)</t>
  </si>
  <si>
    <t>MVD</t>
  </si>
  <si>
    <t>FP17780|MDDase|MPD|POROK7</t>
  </si>
  <si>
    <t>MVK</t>
  </si>
  <si>
    <t>LRBP|MK|MVLK|POROK3</t>
  </si>
  <si>
    <t>BLIND (AR);DERM (AD,AR);IMMUUN (AR);METAB (AR);MR (AR);OMIM (AR;AD,AR);PCS (AR)</t>
  </si>
  <si>
    <t>MXI1</t>
  </si>
  <si>
    <t>MAD2|MXD2|MXI|bHLHc11</t>
  </si>
  <si>
    <t>MYBPC1</t>
  </si>
  <si>
    <t>LCCS4|MYBPCC|MYBPCS|MYOTREM|ssMyBP-C</t>
  </si>
  <si>
    <t>AKI (AR);OMIM (AR;AD,AR);PCS (AR)</t>
  </si>
  <si>
    <t>MYBPC3</t>
  </si>
  <si>
    <t>CMD1MM|CMH4|FHC|LVNC10|MYBP-C|cMyBP-C</t>
  </si>
  <si>
    <t>MYBPHL</t>
  </si>
  <si>
    <t>MYC</t>
  </si>
  <si>
    <t>MRTL|MYCC|bHLHe39|c-Myc</t>
  </si>
  <si>
    <t>MYCN</t>
  </si>
  <si>
    <t>MODED|N-myc|NMYC|ODED|bHLHe37</t>
  </si>
  <si>
    <t>AKI (AR);LENGTE (AD);MR (AD);OMIM (AR;AD)</t>
  </si>
  <si>
    <t>MYD88</t>
  </si>
  <si>
    <t>IMD68|MYD88D</t>
  </si>
  <si>
    <t>MYF5</t>
  </si>
  <si>
    <t>EORVA|bHLHc2</t>
  </si>
  <si>
    <t>MYH11</t>
  </si>
  <si>
    <t>AAT4|FAA4|SMHC|SMMHC</t>
  </si>
  <si>
    <t>MYH14</t>
  </si>
  <si>
    <t>DFNA4|DFNA4A|FP17425|MHC16|MYH17|NMHC II-C|NMHC-II-C|PNMHH|myosin</t>
  </si>
  <si>
    <t>DOOF (AD);HMSN (AD);OMIM (AD)</t>
  </si>
  <si>
    <t>MYH2</t>
  </si>
  <si>
    <t>IBM3|MYH2A|MYHSA2|MYHas8|MYPOP|MyHC-2A|MyHC-IIa</t>
  </si>
  <si>
    <t>MYH3</t>
  </si>
  <si>
    <t>CPSFS1A|CPSFS1B|CPSKF1A|CPSKF1B|DA2A|DA2B|DA2B3|DA8|HEMHC|MYHC-EMB|MYHSE1|SMHCE</t>
  </si>
  <si>
    <t>AKI (AD);LENGTE (AD,AR);OMIM (AD;AR;AD,AR);PCS (AR);SPIER (AD)</t>
  </si>
  <si>
    <t>MYH6</t>
  </si>
  <si>
    <t>ASD3|CMD1EE|CMH14|MYHC|MYHCA|SSS3|alpha-MHC</t>
  </si>
  <si>
    <t>ANEURYSM (AD);CHD (AD);HART (AD,AR);OMIM (AD;AD,AR)</t>
  </si>
  <si>
    <t>MYH7</t>
  </si>
  <si>
    <t>CMD1S|CMH1|MPD1|MYHCB|SPMD|SPMM</t>
  </si>
  <si>
    <t>CHD (AD);HART (AD,AR);OMIM (AD,AR);SPIER (AD)</t>
  </si>
  <si>
    <t>MYH7B</t>
  </si>
  <si>
    <t>MHC14|MYH14</t>
  </si>
  <si>
    <t>MYH8</t>
  </si>
  <si>
    <t>DA7|MyHC-peri|MyHC-pn|gtMHC-F</t>
  </si>
  <si>
    <t>AKI (AD);DERM (AD);OMIM (AD)</t>
  </si>
  <si>
    <t>MYH9</t>
  </si>
  <si>
    <t>BDPLT6|DFNA17|EPSTS|FTNS|MATINS|MHA|NMHC-II-A|NMMHC-IIA|NMMHCA</t>
  </si>
  <si>
    <t>BMF (AD);DOOF (AD);HEMOS (AD);MR (AD);NIER (AD);OMIM (AD)</t>
  </si>
  <si>
    <t>MYL1</t>
  </si>
  <si>
    <t>MLC1F|MLC3F|MYOFTA</t>
  </si>
  <si>
    <t>MYL2</t>
  </si>
  <si>
    <t>CMH10|MLC-2s/v|MLC2</t>
  </si>
  <si>
    <t>MYL3</t>
  </si>
  <si>
    <t>CMH8|MLC-lV/sb|MLC1SB|MLC1V|VLC1|VLCl</t>
  </si>
  <si>
    <t>HART (AD);OMIM (AD,AR);PCS (AR)</t>
  </si>
  <si>
    <t>MYL4</t>
  </si>
  <si>
    <t>ALC1|AMLC|GT1|PRO1957</t>
  </si>
  <si>
    <t>MYL7</t>
  </si>
  <si>
    <t>MYL2A|MYLC2A</t>
  </si>
  <si>
    <t>MYLK</t>
  </si>
  <si>
    <t>AAT7|KRP|MLCK|MLCK1|MLCK108|MLCK210|MMIHS|MSTP083|MYLK1|smMLCK</t>
  </si>
  <si>
    <t>ANEURYSM (AD);HART (AD);OMIM (AD;AR;AD,AR);PCS (AR)</t>
  </si>
  <si>
    <t>MYLK2</t>
  </si>
  <si>
    <t>KMLC|MLCK|MLCK2|skMLCK</t>
  </si>
  <si>
    <t>MYLK3</t>
  </si>
  <si>
    <t>MLCK|MLCK2|caMLCK</t>
  </si>
  <si>
    <t>MYLPF</t>
  </si>
  <si>
    <t>DA1C|HUMMLC2B|MLC2B|MRLC2|MYL11</t>
  </si>
  <si>
    <t>MYMK</t>
  </si>
  <si>
    <t>MYOMAKER|TMEM226|TMEM8C</t>
  </si>
  <si>
    <t>MYO15A</t>
  </si>
  <si>
    <t>DFNB3|MYO15</t>
  </si>
  <si>
    <t>MYO18B</t>
  </si>
  <si>
    <t>KFS4</t>
  </si>
  <si>
    <t>MYO1A</t>
  </si>
  <si>
    <t>BBMI|DFNA48|MIHC|MYHL</t>
  </si>
  <si>
    <t>MYO1E</t>
  </si>
  <si>
    <t>FSGS6|HuncM-IC|MYO1C</t>
  </si>
  <si>
    <t>MYO3A</t>
  </si>
  <si>
    <t>DFNB30</t>
  </si>
  <si>
    <t>MYO5A</t>
  </si>
  <si>
    <t>GS1|MYH12|MYO5|MYR12</t>
  </si>
  <si>
    <t>DERM (AR);HEMOS (AR);MR (AR);OMIM (AR);PCS (AR)</t>
  </si>
  <si>
    <t>MYO5B</t>
  </si>
  <si>
    <t>MYO6</t>
  </si>
  <si>
    <t>DFNA22|DFNB37</t>
  </si>
  <si>
    <t>DOOF (AD,AR);HART (AD,AR);OMIM (AD,AR);PCS (AR)</t>
  </si>
  <si>
    <t>MYO7A</t>
  </si>
  <si>
    <t>DFNA11|DFNB2|MYOVIIA|MYU7A|NSRD2|USH1B</t>
  </si>
  <si>
    <t>BLIND (AR);DOOF (AD,AR);OMIM (AD,AR);PCS (AR)</t>
  </si>
  <si>
    <t>MYO9A</t>
  </si>
  <si>
    <t>CMS24</t>
  </si>
  <si>
    <t>MYOC</t>
  </si>
  <si>
    <t>GLC1A|GPOA|JOAG|JOAG1|TIGR</t>
  </si>
  <si>
    <t>MYOM1</t>
  </si>
  <si>
    <t>SKELEMIN</t>
  </si>
  <si>
    <t>MYORG</t>
  </si>
  <si>
    <t>IBGC7|KIAA1161|NET37</t>
  </si>
  <si>
    <t>BEWEGING (AR);OMIM (AR);PARK (AR)</t>
  </si>
  <si>
    <t>MYOT</t>
  </si>
  <si>
    <t>LGMD1|LGMD1A|MFM3|TTID|TTOD</t>
  </si>
  <si>
    <t>HART (AD);OMIM (AD;AD,AR);SPIER (AD,AR)</t>
  </si>
  <si>
    <t>MYOZ2</t>
  </si>
  <si>
    <t>C4orf5|CMH16|CS-1|FATZ-2</t>
  </si>
  <si>
    <t>MYPN</t>
  </si>
  <si>
    <t>CMD1DD|CMH22|MYOP|NEM11|RCM4</t>
  </si>
  <si>
    <t>HART (AD);OMIM (AD;AR;AD,AR);PCS (AR);SPIER (AR)</t>
  </si>
  <si>
    <t>MYRF</t>
  </si>
  <si>
    <t>11orf9|C11orf9|CUGS|MMERV|MRF|Ndt80|pqn-47</t>
  </si>
  <si>
    <t>MYSM1</t>
  </si>
  <si>
    <t>2A-DUB|2ADUB|BMFS4</t>
  </si>
  <si>
    <t>MYT1L</t>
  </si>
  <si>
    <t>MRD39|NZF1|ZC2H2C2|ZC2HC4B|myT1-L</t>
  </si>
  <si>
    <t>MZB1</t>
  </si>
  <si>
    <t>MEDA-7|PACAP|pERp1</t>
  </si>
  <si>
    <t>NAA10</t>
  </si>
  <si>
    <t>ARD1|ARD1A|ARD1P|DXS707|MCOPS1|NATD|OGDNS|TE2|hARD1</t>
  </si>
  <si>
    <t>BLIND (XL);CFA (XL);DERM (XL);MR (XL);OMIM (XL)</t>
  </si>
  <si>
    <t>NAA15</t>
  </si>
  <si>
    <t>Ga19|MRD50|NARG1|NAT1P|NATH|TBDN|TBDN100</t>
  </si>
  <si>
    <t>CHD (AD);HART (AD);MR (AD);OMIM (AD)</t>
  </si>
  <si>
    <t>NACC1</t>
  </si>
  <si>
    <t>BEND8|BTBD14B|BTBD30|NAC-1|NAC1|NECFM</t>
  </si>
  <si>
    <t>NADK2</t>
  </si>
  <si>
    <t>C5orf33|DECRD|MNADK|NADKD1</t>
  </si>
  <si>
    <t>NADSYN1</t>
  </si>
  <si>
    <t>VCRL3</t>
  </si>
  <si>
    <t>NAGA</t>
  </si>
  <si>
    <t>D22S674|GALB</t>
  </si>
  <si>
    <t>NAGLU</t>
  </si>
  <si>
    <t>CMT2V|MPS-IIIB|MPS3B|NAG|UFHSD</t>
  </si>
  <si>
    <t>HMSN (AD);HNPD (AD,AR);LENGTE (AD,AR);METAB (AR);MR (AR);OMIM (AD,AR);PCS (AR)</t>
  </si>
  <si>
    <t>NAGS</t>
  </si>
  <si>
    <t>AGAS|ARGA</t>
  </si>
  <si>
    <t>NALCN</t>
  </si>
  <si>
    <t>CLIFAHDD|CanIon|IHPRF|IHPRF1|INNFD|VGCNL1|bA430M15.1</t>
  </si>
  <si>
    <t>NANOS1</t>
  </si>
  <si>
    <t>EC_Rep1a|NOS-1|NOS1|SPGF12|ZC2HC12A</t>
  </si>
  <si>
    <t>NANS</t>
  </si>
  <si>
    <t>HEL-S-100|SAS|SEMDCG|SEMDG</t>
  </si>
  <si>
    <t>BEWEGING (AR);EPI (AR);LENGTE (AR);METAB (AR);MR (AR);OMIM (AR);PCS (AR)</t>
  </si>
  <si>
    <t>NARS1</t>
  </si>
  <si>
    <t>ASNRS|NARS|NEDMILEG|NEDMILG</t>
  </si>
  <si>
    <t>HMSN (AD,AR);OMIM (AD,AR)</t>
  </si>
  <si>
    <t>NARS2</t>
  </si>
  <si>
    <t>DFNB94|SLM5|asnRS</t>
  </si>
  <si>
    <t>BEWEGING (AR);DOOF (AR);EPI (AR);MR (AR);OMIM (AR);OXPHOS (AR);PCS (AR)</t>
  </si>
  <si>
    <t>NAT8L</t>
  </si>
  <si>
    <t>CML3|NACED|NAT8-LIKE</t>
  </si>
  <si>
    <t>NAXD</t>
  </si>
  <si>
    <t>CARKD|LP3298|PEBEL2</t>
  </si>
  <si>
    <t>NAXE</t>
  </si>
  <si>
    <t>AIBP|APOA1BP|PEBEL|YJEFN1</t>
  </si>
  <si>
    <t>NBAS</t>
  </si>
  <si>
    <t>ILFS2|NAG|SOPH</t>
  </si>
  <si>
    <t>BLIND (AR);DERM (AR);IMMUUN (AR);LENGTE (AR);LEVER (AR);METAB (AR);OMIM (AR);PCS (AR)</t>
  </si>
  <si>
    <t>NBEA</t>
  </si>
  <si>
    <t>BCL8B|LYST2|NEDEGE</t>
  </si>
  <si>
    <t>EPI (AD);HEMOS (AD);MR (AD);OMIM (AD)</t>
  </si>
  <si>
    <t>NBEAL2</t>
  </si>
  <si>
    <t>BDPLT4|GPS</t>
  </si>
  <si>
    <t>NBN</t>
  </si>
  <si>
    <t>AT-V1|AT-V2|ATV|NBS|NBS1|P95</t>
  </si>
  <si>
    <t>BMF (AD,AR);BRSTKNK (AR);IMMUUN (AR);MR (AR);OMIM (AR;AD,AR);PCS (AR);TUMOR (AR)</t>
  </si>
  <si>
    <t>NCAPD2</t>
  </si>
  <si>
    <t>CAP-D2|CNAP1|MCPH21|hCAP-D2</t>
  </si>
  <si>
    <t>NCAPD3</t>
  </si>
  <si>
    <t>CAP-D3|CAPD3|MCPH22|hCAP-D3|hHCP-6|hcp-6</t>
  </si>
  <si>
    <t>NCAPG2</t>
  </si>
  <si>
    <t>3KS|CAP-G2|CAPG2|LUZP5|MTB|hCAP-G2</t>
  </si>
  <si>
    <t>NCAPH</t>
  </si>
  <si>
    <t>BRRN1|CAP-H|CAPH|MCPH23</t>
  </si>
  <si>
    <t>NCF1</t>
  </si>
  <si>
    <t>CGD1|NCF1A|NOXO2|SH3PXD1A|p47phox</t>
  </si>
  <si>
    <t>NCF2</t>
  </si>
  <si>
    <t>NCF-2|NOXA2|P67-PHOX|P67PHOX</t>
  </si>
  <si>
    <t>NCF4</t>
  </si>
  <si>
    <t>CGD3|NCF|P40PHOX|SH3PXD4</t>
  </si>
  <si>
    <t>NCKAP1L</t>
  </si>
  <si>
    <t>HEM1|IMD72</t>
  </si>
  <si>
    <t>NCOA3</t>
  </si>
  <si>
    <t>ACTR|AIB-1|AIB1|CAGH16|CTG26|KAT13B|RAC3|SRC-3|SRC3|TNRC14|TNRC16|TRAM-1|bHLHe42|pCIP</t>
  </si>
  <si>
    <t>NCOA4</t>
  </si>
  <si>
    <t>ARA70|ELE1|PTC3|RFG</t>
  </si>
  <si>
    <t>NCSTN</t>
  </si>
  <si>
    <t>ATAG1874</t>
  </si>
  <si>
    <t>NDE1</t>
  </si>
  <si>
    <t>HOM-TES-87|LIS4|MHAC|NDE|NUDE|NUDE1</t>
  </si>
  <si>
    <t>NDN</t>
  </si>
  <si>
    <t>HsT16328|PWCR</t>
  </si>
  <si>
    <t>NDP</t>
  </si>
  <si>
    <t>EVR2|FEVR|ND</t>
  </si>
  <si>
    <t>BLIND (XL);DOOF (XL);MR (XL);OMIM (XL;XLR)</t>
  </si>
  <si>
    <t>NDRG1</t>
  </si>
  <si>
    <t>CAP43|CMT4D|DRG-1|DRG1|GC4|HMSNL|NDR1|NMSL|PROXY1|RIT42|RTP|TARG1|TDD5</t>
  </si>
  <si>
    <t>NDST1</t>
  </si>
  <si>
    <t>HSST|MRT46|NST1</t>
  </si>
  <si>
    <t>NDUFA1</t>
  </si>
  <si>
    <t>CI-MWFE|MC1DN12|MWFE|ZNF183</t>
  </si>
  <si>
    <t>EPI (XL);MR (XL);OMIM (XLR);OXPHOS (XL)</t>
  </si>
  <si>
    <t>NDUFA10</t>
  </si>
  <si>
    <t>CI-42KD|CI-42k|MC1DN22</t>
  </si>
  <si>
    <t>NDUFA11</t>
  </si>
  <si>
    <t>B14.7|CI-B14.7|MC1DN14</t>
  </si>
  <si>
    <t>NDUFA12</t>
  </si>
  <si>
    <t>B17.2|DAP13|MC1DN23</t>
  </si>
  <si>
    <t>NDUFA13</t>
  </si>
  <si>
    <t>B16.6|CDA016|CGI-39|GRIM-19|GRIM19|MC1DN28</t>
  </si>
  <si>
    <t>NDUFA2</t>
  </si>
  <si>
    <t>B8|CD14|CIB8|MC1DN13</t>
  </si>
  <si>
    <t>NDUFA3</t>
  </si>
  <si>
    <t>B9|CI-B9</t>
  </si>
  <si>
    <t>NDUFA4</t>
  </si>
  <si>
    <t>CI-9k|CI-MLRQ|COXFA4|MC4DN21|MLRQ</t>
  </si>
  <si>
    <t>NDUFA5</t>
  </si>
  <si>
    <t>B13|CI-13KD-B|CI-13kB|NUFM|UQOR13</t>
  </si>
  <si>
    <t>NDUFA6</t>
  </si>
  <si>
    <t>B14|CI-B14|LYRM6|MC1DN33|NADHB14</t>
  </si>
  <si>
    <t>NDUFA7</t>
  </si>
  <si>
    <t>B14.5a|CI-B14.5a</t>
  </si>
  <si>
    <t>NDUFA8</t>
  </si>
  <si>
    <t>CI-19KD|CI-PGIV|PGIV</t>
  </si>
  <si>
    <t>NDUFA9</t>
  </si>
  <si>
    <t>CC6|CI-39k|CI39k|COQ11|MC1DN26|NDUFS2L|SDR22E1</t>
  </si>
  <si>
    <t>NDUFAB1</t>
  </si>
  <si>
    <t>ACP|ACP1|FASN2A|SDAP</t>
  </si>
  <si>
    <t>NDUFAF1</t>
  </si>
  <si>
    <t>CGI-65|CGI65|CIA30|MC1DN11</t>
  </si>
  <si>
    <t>EPI (AR);OMIM (AR);OXPHOS (AR);PCS (AR)</t>
  </si>
  <si>
    <t>NDUFAF2</t>
  </si>
  <si>
    <t>B17.2L|MC1DN10|MMTN|NDUFA12L|mimitin</t>
  </si>
  <si>
    <t>NDUFAF3</t>
  </si>
  <si>
    <t>2P1|C3orf60|E3-3|MC1DN18</t>
  </si>
  <si>
    <t>NDUFAF4</t>
  </si>
  <si>
    <t>C6orf66|HRPAP20|HSPC125|MC1DN15|My013|bA22L21.1</t>
  </si>
  <si>
    <t>NDUFAF5</t>
  </si>
  <si>
    <t>C20orf7|MC1DN16|bA526K24.2|dJ842G6.1</t>
  </si>
  <si>
    <t>NDUFAF6</t>
  </si>
  <si>
    <t>C8orf38|FRTS5|MC1DN17</t>
  </si>
  <si>
    <t>NDUFAF7</t>
  </si>
  <si>
    <t>C2orf56|MidA|PRO1853</t>
  </si>
  <si>
    <t>NDUFAF8</t>
  </si>
  <si>
    <t>C17orf89|MC1DN34</t>
  </si>
  <si>
    <t>NDUFB1</t>
  </si>
  <si>
    <t>CI-MNLL|CI-SGDH|MNLL</t>
  </si>
  <si>
    <t>NDUFB10</t>
  </si>
  <si>
    <t>MC1DN35|PDSW</t>
  </si>
  <si>
    <t>NDUFB11</t>
  </si>
  <si>
    <t>CI-ESSS|ESSS|MC1DN30|NP17.3|Np15|P17.3</t>
  </si>
  <si>
    <t>DERM (XL);IJZER (XL);OMIM (XL;AR);OXPHOS (AR);PCS (AR)</t>
  </si>
  <si>
    <t>NDUFB2</t>
  </si>
  <si>
    <t>AGGG|CI-AGGG</t>
  </si>
  <si>
    <t>NDUFB3</t>
  </si>
  <si>
    <t>B12|CI-B12|MC1DN25</t>
  </si>
  <si>
    <t>NDUFB4</t>
  </si>
  <si>
    <t>B15|CI-B15</t>
  </si>
  <si>
    <t>NDUFB5</t>
  </si>
  <si>
    <t>CISGDH|SGDH</t>
  </si>
  <si>
    <t>NDUFB6</t>
  </si>
  <si>
    <t>B17|CI</t>
  </si>
  <si>
    <t>NDUFB7</t>
  </si>
  <si>
    <t>B18|CI-B18</t>
  </si>
  <si>
    <t>NDUFB8</t>
  </si>
  <si>
    <t>ASHI|CI-ASHI|MC1DN32</t>
  </si>
  <si>
    <t>NDUFB9</t>
  </si>
  <si>
    <t>B22|CI-B22|LYRM3|MC1DN24|UQOR22</t>
  </si>
  <si>
    <t>NDUFC1</t>
  </si>
  <si>
    <t>KFYI</t>
  </si>
  <si>
    <t>NDUFC2</t>
  </si>
  <si>
    <t>B14.5b|CI-B14.5b|HLC-1|MC1DN36|NADHDH2</t>
  </si>
  <si>
    <t>NDUFS1</t>
  </si>
  <si>
    <t>CI-75Kd|CI-75k|MC1DN5|PRO1304</t>
  </si>
  <si>
    <t>NDUFS2</t>
  </si>
  <si>
    <t>CI-49|MC1DN6</t>
  </si>
  <si>
    <t>BLIND (AR);EPI (AR);MR (AR);OMIM (AR);OXPHOS (AR);PCS (AR)</t>
  </si>
  <si>
    <t>NDUFS3</t>
  </si>
  <si>
    <t>CI-30|MC1DN8</t>
  </si>
  <si>
    <t>NDUFS4</t>
  </si>
  <si>
    <t>AQDQ|CI-18|CI-18 kDa|CI-AQDQ|MC1DN1</t>
  </si>
  <si>
    <t>NDUFS5</t>
  </si>
  <si>
    <t>CI-15k|CI15K</t>
  </si>
  <si>
    <t>NDUFS6</t>
  </si>
  <si>
    <t>CI-13kA|CI-13kD-A|CI13KDA|MC1DN9</t>
  </si>
  <si>
    <t>NDUFS7</t>
  </si>
  <si>
    <t>CI-20|CI-20KD|MC1DN3|MY017|PSST</t>
  </si>
  <si>
    <t>NDUFS8</t>
  </si>
  <si>
    <t>CI-23k|CI23KD|MC1DN2|TYKY</t>
  </si>
  <si>
    <t>NDUFV1</t>
  </si>
  <si>
    <t>CI-51K|CI51KD|MC1DN4|UQOR1</t>
  </si>
  <si>
    <t>NDUFV2</t>
  </si>
  <si>
    <t>CI-24k|MC1DN7</t>
  </si>
  <si>
    <t>NDUFV3</t>
  </si>
  <si>
    <t>CI-10k|CI-9KD</t>
  </si>
  <si>
    <t>NEB</t>
  </si>
  <si>
    <t>NEB177D|NEM2</t>
  </si>
  <si>
    <t>NEBL</t>
  </si>
  <si>
    <t>C10orf113|LASP2|LNEBL|bA165O3.1</t>
  </si>
  <si>
    <t>NECAP1</t>
  </si>
  <si>
    <t>DEE21|EIEE21</t>
  </si>
  <si>
    <t>NECTIN1</t>
  </si>
  <si>
    <t>CD111|CLPED1|ED4|HIgR|HV1S|HVEC|OFC7|PRR|PRR1|PVRL1|PVRR|PVRR1|SK-12|nectin-1</t>
  </si>
  <si>
    <t>CFA (AR);DERM (AD,AR);OMIM (AD,AR);PCS (AR);SCHISIS (AR)</t>
  </si>
  <si>
    <t>NECTIN4</t>
  </si>
  <si>
    <t>EDSS1|LNIR|PRR4|PVRL4|nectin-4</t>
  </si>
  <si>
    <t>NEDD4L</t>
  </si>
  <si>
    <t>NEDD4-2|NEDD4.2|PVNH7|RSP5|hNEDD4-2</t>
  </si>
  <si>
    <t>NEFH</t>
  </si>
  <si>
    <t>CMT2CC|NFH</t>
  </si>
  <si>
    <t>HMSN (AD);OMIM (AD;AD,AR);SPIER (AD)</t>
  </si>
  <si>
    <t>NEFL</t>
  </si>
  <si>
    <t>CMT1F|CMT2E|CMTDIG|NF-L|NF68|NFL|PPP1R110</t>
  </si>
  <si>
    <t>BEWEGING (AD);HMSN (AD,AR);OMIM (AD;AD,AR)</t>
  </si>
  <si>
    <t>NEK1</t>
  </si>
  <si>
    <t>ALS24|NY-REN-55|SRPS2|SRPS2A|SRTD6</t>
  </si>
  <si>
    <t>CILIO (AR);DSD (AR);LENGTE (AR);NIER (AR);OMIM (UK,AR,AD,XL);PCS (AR);SCHISIS (AR)</t>
  </si>
  <si>
    <t>NEK10</t>
  </si>
  <si>
    <t>CILD44</t>
  </si>
  <si>
    <t>NEK11</t>
  </si>
  <si>
    <t>DERM (AD);MELANOOM (AD);OMIM (AD)</t>
  </si>
  <si>
    <t>NEK2</t>
  </si>
  <si>
    <t>HsPK21|NEK2A|NLK1|PPP1R111|RP67</t>
  </si>
  <si>
    <t>BLIND (AR);MELANOOM (AD);OMIM (AR;AD);PCS (AR)</t>
  </si>
  <si>
    <t>NEK4</t>
  </si>
  <si>
    <t>NRK2|STK2|pp12301</t>
  </si>
  <si>
    <t>NEK8</t>
  </si>
  <si>
    <t>JCK|NEK12A|NPHP9|RHPD2</t>
  </si>
  <si>
    <t>NEK9</t>
  </si>
  <si>
    <t>APUG|LCCS10|NC|NERCC|NERCC1</t>
  </si>
  <si>
    <t>AKI (AR);DERM (AD);LENGTE (AR);OMIM (AR;AD);PCS (AR)</t>
  </si>
  <si>
    <t>NEMF</t>
  </si>
  <si>
    <t>IDDSAPN|NY-CO-1|SDCCAG1</t>
  </si>
  <si>
    <t>NEPRO</t>
  </si>
  <si>
    <t>ANXD3|C3orf17|NET17</t>
  </si>
  <si>
    <t>NEU1</t>
  </si>
  <si>
    <t>NANH|NEU|SIAL1</t>
  </si>
  <si>
    <t>BEWEGING (AR);EPI (AR);LENGTE (AR);METAB (AR);MR (AR);NIER (AR);OMIM (AR);PCS (AR)</t>
  </si>
  <si>
    <t>NEUROD1</t>
  </si>
  <si>
    <t>BETA2|BHF-1|MODY6|NEUROD|T2D|bHLHa3</t>
  </si>
  <si>
    <t>BLIND (AR);OMIM (UK,AR,AD,XL)</t>
  </si>
  <si>
    <t>NEUROD2</t>
  </si>
  <si>
    <t>DEE72|EIEE72|NDRF|bHLHa1</t>
  </si>
  <si>
    <t>NEUROG3</t>
  </si>
  <si>
    <t>Atoh5|Math4B|NGN-3|bHLHa7|ngn3</t>
  </si>
  <si>
    <t>NEXMIF</t>
  </si>
  <si>
    <t>KIAA2022|KIDLIA|MRX98|XPN</t>
  </si>
  <si>
    <t>BEWEGING (AD);EPI (AD);MR (XL);OMIM (AD;XL)</t>
  </si>
  <si>
    <t>NEXN</t>
  </si>
  <si>
    <t>CMH20|NELIN</t>
  </si>
  <si>
    <t>NF1</t>
  </si>
  <si>
    <t>NFNS|VRNF|WSS</t>
  </si>
  <si>
    <t>BMF (AD);DERM (AD);LENGTE (AD);MR (AD);OMIM (AD;UK,AR,AD,XL);TUMOR (AD)</t>
  </si>
  <si>
    <t>NF2</t>
  </si>
  <si>
    <t>ACN|BANF|SCH|merlin-1</t>
  </si>
  <si>
    <t>BEWEGING (AD);OMIM (AD);TUMOR (AD)</t>
  </si>
  <si>
    <t>NFASC</t>
  </si>
  <si>
    <t>NEDCPMD|NF|NRCAML</t>
  </si>
  <si>
    <t>NFAT5</t>
  </si>
  <si>
    <t>NF-AT5|NFATL1|NFATZ|OREBP|TONEBP</t>
  </si>
  <si>
    <t>NFATC1</t>
  </si>
  <si>
    <t>NF-ATC|NF-ATc1.2|NFAT2|NFATc</t>
  </si>
  <si>
    <t>NFE2L2</t>
  </si>
  <si>
    <t>HEBP1|IMDDHH|NRF2|Nrf-2</t>
  </si>
  <si>
    <t>NFIA</t>
  </si>
  <si>
    <t>BRMUTD|CTF|NF-I/A|NF1-A|NFI-A|NFI-L</t>
  </si>
  <si>
    <t>NFIB</t>
  </si>
  <si>
    <t>CTF|HMGIC/NFIB|MACID|NF-I/B|NF1-B|NFI-B|NFI-RED|NFIB2|NFIB3</t>
  </si>
  <si>
    <t>NFIX</t>
  </si>
  <si>
    <t>CTF|MRSHSS|NF-I/X|NF1-X|NF1A|SOTOS2</t>
  </si>
  <si>
    <t>NFKB1</t>
  </si>
  <si>
    <t>CVID12|EBP-1|KBF1|NF-kB|NF-kB1|NF-kappa-B1|NF-kappaB|NF-kappabeta|NFKB-p105|NFKB-p50|NFkappaB</t>
  </si>
  <si>
    <t>NFKB2</t>
  </si>
  <si>
    <t>CVID10|H2TF1|LYT-10|LYT10|NF-kB2|p100|p49/p100|p52</t>
  </si>
  <si>
    <t>NFKBIA</t>
  </si>
  <si>
    <t>EDAID2|IKBA|MAD-3|NFKBI</t>
  </si>
  <si>
    <t>CFA (AD);DERM (AD);IMMUUN (AD);OMIM (AD)</t>
  </si>
  <si>
    <t>NFS1</t>
  </si>
  <si>
    <t>HUSSY-08|IscS|NIFS</t>
  </si>
  <si>
    <t>NFU1</t>
  </si>
  <si>
    <t>CGI-33|HIRIP|HIRIP5|MMDS1|NIFUC|Nfu|NifU</t>
  </si>
  <si>
    <t>NGF</t>
  </si>
  <si>
    <t>Beta-NGF|HSAN5|NGFB</t>
  </si>
  <si>
    <t>HMSN (AR);HNPD (AR);OMIM (AR);PCS (AR)</t>
  </si>
  <si>
    <t>NGLY1</t>
  </si>
  <si>
    <t>CDDG|CDG1V|PNG-1|PNG1|PNGase</t>
  </si>
  <si>
    <t>NHEJ1</t>
  </si>
  <si>
    <t>XLF</t>
  </si>
  <si>
    <t>IMMUUN (AR);OMIM (AR;UK,AR,AD,XL);PCS (AR);SCID (AR)</t>
  </si>
  <si>
    <t>NHLRC1</t>
  </si>
  <si>
    <t>EPM2A|EPM2B|MALIN|bA204B7.2</t>
  </si>
  <si>
    <t>NHLRC2</t>
  </si>
  <si>
    <t>FINCA</t>
  </si>
  <si>
    <t>NHP2</t>
  </si>
  <si>
    <t>DKCB2|NHP2P|NOLA2</t>
  </si>
  <si>
    <t>BMF (AR);DERM (AR);DKC (AR);IMMUUN (AR);LEVER (AR);OMIM (AR);PCS (AR);TUMOR (AR)</t>
  </si>
  <si>
    <t>NHS</t>
  </si>
  <si>
    <t>CTRCT40|CXN|SCML1</t>
  </si>
  <si>
    <t>BLIND (XL);MR (XL);OMIM (XL)</t>
  </si>
  <si>
    <t>NIN</t>
  </si>
  <si>
    <t>SCKL7</t>
  </si>
  <si>
    <t>NIPA1</t>
  </si>
  <si>
    <t>FSP3|SLC57A1|SPG6</t>
  </si>
  <si>
    <t>NIPAL4</t>
  </si>
  <si>
    <t>ARCI6|ICHTHYIN|ICHYN|SLC57A6</t>
  </si>
  <si>
    <t>NIPBL</t>
  </si>
  <si>
    <t>CDLS|CDLS1|IDN3|IDN3-B|Scc2</t>
  </si>
  <si>
    <t>CFA (AD);DERM (AD);LENGTE (AD);MR (AD);OMIM (AD);SCHISIS (AD)</t>
  </si>
  <si>
    <t>NKAP</t>
  </si>
  <si>
    <t>MRXSHD</t>
  </si>
  <si>
    <t>NKX2-1</t>
  </si>
  <si>
    <t>BCH|BHC|NK-2|NKX2.1|NKX2A|NMTC1|T/EBP|TEBP|TITF1|TTF-1|TTF1</t>
  </si>
  <si>
    <t>NKX2-5</t>
  </si>
  <si>
    <t>CHNG5|CSX|CSX1|HLHS2|NKX2.5|NKX2E|NKX4-1|VSD3</t>
  </si>
  <si>
    <t>NKX2-6</t>
  </si>
  <si>
    <t>CSX2|CTHM|NKX2F|NKX4-2</t>
  </si>
  <si>
    <t>CHD (AD);HART (AR);OMIM (UK,AR,AD,XL);PCS (AR)</t>
  </si>
  <si>
    <t>NKX3-2</t>
  </si>
  <si>
    <t>BAPX1|NKX3.2|NKX3B|SMMD</t>
  </si>
  <si>
    <t>NKX6-2</t>
  </si>
  <si>
    <t>GTX|NKX6.2|NKX6B|SPAX8</t>
  </si>
  <si>
    <t>NLGN2</t>
  </si>
  <si>
    <t>NLGN3</t>
  </si>
  <si>
    <t>HNL3</t>
  </si>
  <si>
    <t>NLGN4X</t>
  </si>
  <si>
    <t>ASPGX2|AUTSX2|HLNX|HNL4X|NLGN4</t>
  </si>
  <si>
    <t>NLRC4</t>
  </si>
  <si>
    <t>AIFEC|CARD12|CLAN|CLAN1|CLANA|CLANB|CLANC|CLAND|CLR2.1|FCAS4|IPAF</t>
  </si>
  <si>
    <t>NLRP1</t>
  </si>
  <si>
    <t>AIADK|CARD7|CIDED|CLR17.1|DEFCAP|DEFCAP-L/S|JRRP|MSPC|NAC|NALP1|PP1044|SLEV1|VAMAS1</t>
  </si>
  <si>
    <t>DERM (AD);IMMUUN (AD);OMIM (AD,AR);PCS (AR)</t>
  </si>
  <si>
    <t>NLRP12</t>
  </si>
  <si>
    <t>CLR19.3|FCAS2|NALP12|PAN6|PYPAF7|RNO|RNO2</t>
  </si>
  <si>
    <t>NLRP3</t>
  </si>
  <si>
    <t>AGTAVPRL|AII|AVP|C1orf7|CIAS1|CLR1.1|DFNA34|FCAS|FCAS1|FCU|KEFH|MWS|NALP3|PYPAF1</t>
  </si>
  <si>
    <t>DERM (AD);DOOF (AD);IMMUUN (AD);LENGTE (AD);OMIM (AD)</t>
  </si>
  <si>
    <t>NLRP6</t>
  </si>
  <si>
    <t>AVR|CLR11.4|NALP6|NAVR|NAVR/AVR|PAN3|PYPAF5</t>
  </si>
  <si>
    <t>NLRP7</t>
  </si>
  <si>
    <t>CLR19.4|HYDM|NALP7|NOD12|PAN7|PYPAF3</t>
  </si>
  <si>
    <t>IMMUUN (UK,AR,AD,XL);OMIM (AR;UK,AR,AD,XL);PCS (AR)</t>
  </si>
  <si>
    <t>NME1</t>
  </si>
  <si>
    <t>AWD|GAAD|NB|NBS|NDKA|NDPK-A|NDPKA|NM23|NM23-H1</t>
  </si>
  <si>
    <t>NME3</t>
  </si>
  <si>
    <t>DR-nm23|NDPK-C|NDPKC|NM23-H3|NM23H3|c371H6.2</t>
  </si>
  <si>
    <t>NME5</t>
  </si>
  <si>
    <t>NM23-H5|NM23H5|RSPH23</t>
  </si>
  <si>
    <t>NME8</t>
  </si>
  <si>
    <t>CILD6|HEL-S-99|NM23-H8|SPTRX2|TXNDC3|sptrx-2</t>
  </si>
  <si>
    <t>NMNAT1</t>
  </si>
  <si>
    <t>LCA9|NMNAT|PNAT1</t>
  </si>
  <si>
    <t>NMNAT2</t>
  </si>
  <si>
    <t>C1orf15|PNAT2</t>
  </si>
  <si>
    <t>HMSN (AR);HNPD (AR);OMIM (AR)</t>
  </si>
  <si>
    <t>NNT</t>
  </si>
  <si>
    <t>GCCD4</t>
  </si>
  <si>
    <t>DSD (AR);HART (AD);METAB (AR);OMIM (AR;AD);PCS (AR)</t>
  </si>
  <si>
    <t>NOBOX</t>
  </si>
  <si>
    <t>OG-2|OG2|OG2X|POF5|TCAG_12042</t>
  </si>
  <si>
    <t>NOD2</t>
  </si>
  <si>
    <t>ACUG|BLAU|BLAUS|CARD15|CD|CLR16.3|IBD1|NLRC2|NOD2B|PSORAS1|YAOS</t>
  </si>
  <si>
    <t>DERM (AD,AR);IMMUUN (AD);OMIM (AD;AD,AR)</t>
  </si>
  <si>
    <t>NODAL</t>
  </si>
  <si>
    <t>HTX5</t>
  </si>
  <si>
    <t>CHD (AD);CILIO (AD);HART (AD);OMIM (AD)</t>
  </si>
  <si>
    <t>NOG</t>
  </si>
  <si>
    <t>SYM1|SYNS1|SYNS1A</t>
  </si>
  <si>
    <t>CFA (AD);DOOF (AD);LENGTE (AD);OMIM (AD)</t>
  </si>
  <si>
    <t>NOL3</t>
  </si>
  <si>
    <t>ARC|FCM|MYOCL1|MYP|NOP|NOP30</t>
  </si>
  <si>
    <t>NOMO3</t>
  </si>
  <si>
    <t>Nomo</t>
  </si>
  <si>
    <t>NONO</t>
  </si>
  <si>
    <t>MRXS34|NMT55|NRB54|P54|P54NRB|PPP1R114</t>
  </si>
  <si>
    <t>NOP10</t>
  </si>
  <si>
    <t>DKCB1|NOLA3|NOP10P</t>
  </si>
  <si>
    <t>NOP56</t>
  </si>
  <si>
    <t>NOL5A|SCA36</t>
  </si>
  <si>
    <t>NOS1AP</t>
  </si>
  <si>
    <t>6330408P19Rik|CAPON|NPHS22</t>
  </si>
  <si>
    <t>NOS2</t>
  </si>
  <si>
    <t>HEP-NOS|INOS|NOS|NOS2A</t>
  </si>
  <si>
    <t>NOS3</t>
  </si>
  <si>
    <t>ECNOS|eNOS</t>
  </si>
  <si>
    <t>NOTCH1</t>
  </si>
  <si>
    <t>AOS5|AOVD1|TAN1|hN1</t>
  </si>
  <si>
    <t>ANEURYSM (AD);CHD (AD);DERM (AD);HART (AD);LENGTE (AD);OMIM (AD);SCHISIS (AD)</t>
  </si>
  <si>
    <t>NOTCH2</t>
  </si>
  <si>
    <t>AGS2|HJCYS|hN2</t>
  </si>
  <si>
    <t>CHD (AD);HART (AD);LENGTE (AD);LEVER (AD);NIER (AD);OMIM (AD)</t>
  </si>
  <si>
    <t>NOTCH3</t>
  </si>
  <si>
    <t>CADASIL|CADASIL1|CASIL|IMF2|LMNS</t>
  </si>
  <si>
    <t>NOTCH4</t>
  </si>
  <si>
    <t>INT3</t>
  </si>
  <si>
    <t>NOVA2</t>
  </si>
  <si>
    <t>ANOVA|NEDASB|NOVA-2|NOVA3</t>
  </si>
  <si>
    <t>NPAT</t>
  </si>
  <si>
    <t>E14|E14/NPAT|p220</t>
  </si>
  <si>
    <t>NPC1</t>
  </si>
  <si>
    <t>NPC|POGZ|SLC65A1</t>
  </si>
  <si>
    <t>BEWEGING (AR);LEVER (AR);METAB (AR);MR (AR);OMIM (AR);PCS (AR)</t>
  </si>
  <si>
    <t>NPC2</t>
  </si>
  <si>
    <t>EDDM1|HE1</t>
  </si>
  <si>
    <t>NPHP1</t>
  </si>
  <si>
    <t>JBTS4|NPH1|SLSN1</t>
  </si>
  <si>
    <t>NPHP3</t>
  </si>
  <si>
    <t>CFAP31|MKS7|NPH3|RHPD|RHPD1|SLSN3</t>
  </si>
  <si>
    <t>NPHP4</t>
  </si>
  <si>
    <t>POC10|SLSN4</t>
  </si>
  <si>
    <t>NPHS1</t>
  </si>
  <si>
    <t>CNF|NPHN|nephrin</t>
  </si>
  <si>
    <t>NPHS2</t>
  </si>
  <si>
    <t>PDCN|SRN1</t>
  </si>
  <si>
    <t>NPL</t>
  </si>
  <si>
    <t>C112|C1orf13|NAL|NPL1</t>
  </si>
  <si>
    <t>NPM1</t>
  </si>
  <si>
    <t>B23|NPM</t>
  </si>
  <si>
    <t>BMF (AD);DKC (AD);OMIM (UK,AR,AD,XL);TUMOR (AD)</t>
  </si>
  <si>
    <t>NPPA</t>
  </si>
  <si>
    <t>ANF|ANP|ATFB6|ATRST2|CDD|CDD-ANF|CDP|PND</t>
  </si>
  <si>
    <t>NPPB</t>
  </si>
  <si>
    <t>BNP|Iso-ANP</t>
  </si>
  <si>
    <t>NPPC</t>
  </si>
  <si>
    <t>CNP|CNP2</t>
  </si>
  <si>
    <t>NPR2</t>
  </si>
  <si>
    <t>AMDM|ANPRB|ANPb|ECDM|GC-B|GCB|GUC2B|GUCY2B|NPRB|NPRBi|SNSK</t>
  </si>
  <si>
    <t>NPR3</t>
  </si>
  <si>
    <t>ANP-C|ANPR-C|ANPRC|C5orf23|GUCY2B|NPR-C|NPRC</t>
  </si>
  <si>
    <t>NPRL2</t>
  </si>
  <si>
    <t>FFEVF2|NPR2|NPR2L|TUSC4</t>
  </si>
  <si>
    <t>NPRL3</t>
  </si>
  <si>
    <t>C16orf35|CGTHBA|FFEVF3|HS-40|MARE|NPR3|RMD11</t>
  </si>
  <si>
    <t>NR0B1</t>
  </si>
  <si>
    <t>AHC|AHCH|AHX|DAX-1|DAX1|DSS|GTD|HHG|NROB1|SRXY2</t>
  </si>
  <si>
    <t>DSD (XL);HH (XL);OMIM (XL)</t>
  </si>
  <si>
    <t>NR0B2</t>
  </si>
  <si>
    <t>SHP|SHP1</t>
  </si>
  <si>
    <t>NR1H4</t>
  </si>
  <si>
    <t>BAR|FXR|HRR-1|HRR1|PFIC5|RIP14</t>
  </si>
  <si>
    <t>NR2E3</t>
  </si>
  <si>
    <t>ESCS|PNR|RNR|RP37|rd7</t>
  </si>
  <si>
    <t>NR2F1</t>
  </si>
  <si>
    <t>BBOAS|BBSOAS|COUP-TFI|COUPTF1|EAR-3|EAR3|ERBAL3|SVP44|TCFCOUP1|TFCOUP1</t>
  </si>
  <si>
    <t>BLIND (AD);MR (AD);OMIM (AD);OXPHOS (AD)</t>
  </si>
  <si>
    <t>NR2F2</t>
  </si>
  <si>
    <t>ARP-1|ARP1|CHTD4|COUPTF2|COUPTFB|COUPTFII|NF-E3|SRXX5|SVP40|TFCOUP2</t>
  </si>
  <si>
    <t>NR3C1</t>
  </si>
  <si>
    <t>GCCR|GCR|GCRST|GR|GRL</t>
  </si>
  <si>
    <t>NR3C2</t>
  </si>
  <si>
    <t>MCR|MLR|MR|NR3C2VIT</t>
  </si>
  <si>
    <t>DSD (AD);NIER (AD);OMIM (AD)</t>
  </si>
  <si>
    <t>NR4A2</t>
  </si>
  <si>
    <t>HZF-3|NOT|NURR1|RNR1|TINUR</t>
  </si>
  <si>
    <t>NR4A3</t>
  </si>
  <si>
    <t>CHN|CSMF|MINOR|NOR1</t>
  </si>
  <si>
    <t>NR5A1</t>
  </si>
  <si>
    <t>AD4BP|ELP|FTZ1|FTZF1|POF7|SF-1|SF1|SPGF8|SRXX4|SRXY3|hSF-1</t>
  </si>
  <si>
    <t>DSD (AR);OMIM (AR;AD)</t>
  </si>
  <si>
    <t>NRAS</t>
  </si>
  <si>
    <t>ALPS4|CMNS|N-ras|NCMS|NRAS1|NS6</t>
  </si>
  <si>
    <t>BMF (AD);DERM (AD);HART (AD);HEMOS (AD);IMMUUN (AD);LENGTE (AD);MR (AD);OMIM (AD);RAS (AD);TUMOR (AD)</t>
  </si>
  <si>
    <t>NRIP1</t>
  </si>
  <si>
    <t>CAKUT3|RIP140</t>
  </si>
  <si>
    <t>NRL</t>
  </si>
  <si>
    <t>D14S46E|NRL-MAF|RP27</t>
  </si>
  <si>
    <t>NRROS</t>
  </si>
  <si>
    <t>ELLP3030|GARPL1|LRRC33|SENEBAC|UNQ3030</t>
  </si>
  <si>
    <t>NRXN1</t>
  </si>
  <si>
    <t>Hs.22998|PTHSL2|SCZD17</t>
  </si>
  <si>
    <t>NSD1</t>
  </si>
  <si>
    <t>ARA267|KMT3B|SOTOS|SOTOS1|STO</t>
  </si>
  <si>
    <t>CFA (AD);DERM (AD);LENGTE (AD);METAB (AR);MR (AD);OMIM (AD;AR);TUMOR (AD)</t>
  </si>
  <si>
    <t>NSD2</t>
  </si>
  <si>
    <t>KMT3F|KMT3G|MMSET|REIIBP|TRX5|WHS|WHSC1</t>
  </si>
  <si>
    <t>NSDHL</t>
  </si>
  <si>
    <t>H105E3|SDR31E1|XAP104</t>
  </si>
  <si>
    <t>DERM (XL);LENGTE (XL);METAB (XL);MR (XL);OMIM (XL)</t>
  </si>
  <si>
    <t>NSMCE2</t>
  </si>
  <si>
    <t>C8orf36|MMS21|NSE2|ZMIZ7</t>
  </si>
  <si>
    <t>NSMCE3</t>
  </si>
  <si>
    <t>HCA4|LICS|MAGEG1|MAGEL3|NDNL2|NSE3</t>
  </si>
  <si>
    <t>NSMF</t>
  </si>
  <si>
    <t>HH9|NELF</t>
  </si>
  <si>
    <t>NSUN2</t>
  </si>
  <si>
    <t>MISU|MRT5|SAKI|TRM4</t>
  </si>
  <si>
    <t>NSUN3</t>
  </si>
  <si>
    <t>COXPD48|MST077|MSTP077</t>
  </si>
  <si>
    <t>NT5C2</t>
  </si>
  <si>
    <t>GMP|NT5B|PNT5|SPG45|SPG65|cN-II</t>
  </si>
  <si>
    <t>NT5C3A</t>
  </si>
  <si>
    <t>NT5C3|P5'N-1|P5N-1|PN-I|POMP|PSN1|UMPH|UMPH1|cN-III|hUMP1|p36</t>
  </si>
  <si>
    <t>NT5E</t>
  </si>
  <si>
    <t>CALJA|CD73|E5NT|NT|NT5|NTE|eN|eNT</t>
  </si>
  <si>
    <t>NTF4</t>
  </si>
  <si>
    <t>GLC10|GLC1O|NT-4|NT-4/5|NT-5|NT4|NT5|NTF5</t>
  </si>
  <si>
    <t>NTHL1</t>
  </si>
  <si>
    <t>FAP3|NTH1|OCTS3|hNTH1</t>
  </si>
  <si>
    <t>NTM</t>
  </si>
  <si>
    <t>CEPU-1|HNT|IGLON2|NTRI</t>
  </si>
  <si>
    <t>NTN1</t>
  </si>
  <si>
    <t>MRMV4|NTN1L</t>
  </si>
  <si>
    <t>NTNG2</t>
  </si>
  <si>
    <t>LHLL9381|Lmnt2|NEDBASH|NTNG1|bA479K20.1</t>
  </si>
  <si>
    <t>NTRK1</t>
  </si>
  <si>
    <t>MTC|TRK|TRK1|TRKA|Trk-A|p140-TrkA</t>
  </si>
  <si>
    <t>HMSN (AR);HNPD (AR);MR (AR);OMIM (AR;AD,AR);PCS (AR)</t>
  </si>
  <si>
    <t>NTRK2</t>
  </si>
  <si>
    <t>DEE58|EIEE58|GP145-TrkB|OBHD|TRKB|trk-B</t>
  </si>
  <si>
    <t>NUBPL</t>
  </si>
  <si>
    <t>C14orf127|IND1|MC1DN21|huInd1</t>
  </si>
  <si>
    <t>NUMA1</t>
  </si>
  <si>
    <t>NMP-22|NUMA</t>
  </si>
  <si>
    <t>NUP107</t>
  </si>
  <si>
    <t>NPHS11|NUP84|ODG6|ODG6; GAMOS7</t>
  </si>
  <si>
    <t>NUP133</t>
  </si>
  <si>
    <t>GAMOS8|NPHS18|hNUP133</t>
  </si>
  <si>
    <t>NUP155</t>
  </si>
  <si>
    <t>ATFB15|N155</t>
  </si>
  <si>
    <t>NUP160</t>
  </si>
  <si>
    <t>NPHS19</t>
  </si>
  <si>
    <t>NUP188</t>
  </si>
  <si>
    <t>KIAA0169|SANDSTEF|hNup188</t>
  </si>
  <si>
    <t>NUP205</t>
  </si>
  <si>
    <t>C7orf14|NPHS13</t>
  </si>
  <si>
    <t>NUP214</t>
  </si>
  <si>
    <t>CAIN|CAN|IIAE9</t>
  </si>
  <si>
    <t>NUP37</t>
  </si>
  <si>
    <t>MCPH24|p37</t>
  </si>
  <si>
    <t>NUP62</t>
  </si>
  <si>
    <t>IBSN|SNDI|p62</t>
  </si>
  <si>
    <t>NUP85</t>
  </si>
  <si>
    <t>FROUNT|NPHS17|Nup75</t>
  </si>
  <si>
    <t>NUP88</t>
  </si>
  <si>
    <t>FADS4</t>
  </si>
  <si>
    <t>NUP93</t>
  </si>
  <si>
    <t>NIC96</t>
  </si>
  <si>
    <t>NUS1</t>
  </si>
  <si>
    <t>C6orf68|CDG1AA|MGC:7199|MRD55|NgBR|TANGO14</t>
  </si>
  <si>
    <t>EPI (AR);METAB (AR);MR (AD);OMIM (AD,AR);PCS (AR)</t>
  </si>
  <si>
    <t>NUTM2B-AS1</t>
  </si>
  <si>
    <t>OPML1</t>
  </si>
  <si>
    <t>NXN</t>
  </si>
  <si>
    <t>NRX|RRS2|TRG-4</t>
  </si>
  <si>
    <t>NYX</t>
  </si>
  <si>
    <t>CLRP|CSNB1|CSNB1A|CSNB4|NBM1</t>
  </si>
  <si>
    <t>BLIND (XL);OMIM (XLR)</t>
  </si>
  <si>
    <t>OAS1</t>
  </si>
  <si>
    <t>E18/E16|IFI-4|OIAS|OIASI</t>
  </si>
  <si>
    <t>OAT</t>
  </si>
  <si>
    <t>GACR|HOGA|OATASE|OKT</t>
  </si>
  <si>
    <t>BLIND (AR);METAB (AR);MR (AR);OMIM (AR);PCS (AR)</t>
  </si>
  <si>
    <t>OBSCN</t>
  </si>
  <si>
    <t>ARHGEF30|UNC89</t>
  </si>
  <si>
    <t>OBSL1</t>
  </si>
  <si>
    <t>OCA2</t>
  </si>
  <si>
    <t>BEY|BEY1|BEY2|BOCA|D15S12|EYCL|EYCL2|EYCL3|HCL3|P|PED|SHEP1</t>
  </si>
  <si>
    <t>BLIND (AR);DERM (AD,AR);MELANOOM (AD,AR);OMIM (AR;AD,AR);PCS (AR)</t>
  </si>
  <si>
    <t>OCLN</t>
  </si>
  <si>
    <t>BLCPMG|PPP1R115|PTORCH1</t>
  </si>
  <si>
    <t>OCRL</t>
  </si>
  <si>
    <t>Dent-2|INPP5F|LOCR|NPHL2|OCRL-1|OCRL1</t>
  </si>
  <si>
    <t>BLIND (XL);CILIO (XLR);METAB (AR);MR (XL);NIER (XLR);OMIM (XLR;AR)</t>
  </si>
  <si>
    <t>ODAD1</t>
  </si>
  <si>
    <t>CCDC114|CILD20</t>
  </si>
  <si>
    <t>CCDC114</t>
  </si>
  <si>
    <t>ODAD2</t>
  </si>
  <si>
    <t>ARMC4|CILD23|gudu</t>
  </si>
  <si>
    <t>ARMC4</t>
  </si>
  <si>
    <t>ODAD3</t>
  </si>
  <si>
    <t>CCDC151|CILD30|ODA10</t>
  </si>
  <si>
    <t>CCDC151</t>
  </si>
  <si>
    <t>ODAD4</t>
  </si>
  <si>
    <t>TTC25</t>
  </si>
  <si>
    <t>ODAM</t>
  </si>
  <si>
    <t>APIN</t>
  </si>
  <si>
    <t>ODAPH</t>
  </si>
  <si>
    <t>AI2A4|C4orf26</t>
  </si>
  <si>
    <t>ODC1</t>
  </si>
  <si>
    <t>BABS|NEDBA|NEDBIA|ODC</t>
  </si>
  <si>
    <t>OFD1</t>
  </si>
  <si>
    <t>71-7A|CXorf5|JBTS10|RP23|SGBS2</t>
  </si>
  <si>
    <t>BLIND (XL);CFA (XL);CILIO (XL);DERM (XL);EPI (XL);LENGTE (XL);MR (XL);NIER (XL);OMIM (XL);SCHISIS (XL)</t>
  </si>
  <si>
    <t>OGDH</t>
  </si>
  <si>
    <t>AKGDH|E1k|KGD1|OGDC|OGDH2</t>
  </si>
  <si>
    <t>OGG1</t>
  </si>
  <si>
    <t>HMMH|HOGG1|MUTM|OGH1</t>
  </si>
  <si>
    <t>OGT</t>
  </si>
  <si>
    <t>HINCUT-1|HRNT1|MRX106|O-GLCNAC|OGT1</t>
  </si>
  <si>
    <t>OPA1</t>
  </si>
  <si>
    <t>BERHS|MGM1|MTDPS14|NPG|NTG|largeG</t>
  </si>
  <si>
    <t>BEWEGING (AR);BLIND (AD);DOOF (AD);OMIM (AD;AR;AD,AR);OXPHOS (AD);PCS (AR);SPIER (AD)</t>
  </si>
  <si>
    <t>OPA3</t>
  </si>
  <si>
    <t>MGA3</t>
  </si>
  <si>
    <t>BLIND (AR);METAB (AR);MR (AR);OMIM (AR;AD,AR);OXPHOS (AR);PCS (AR)</t>
  </si>
  <si>
    <t>OPCML</t>
  </si>
  <si>
    <t>IGLON1|OBCAM|OPCM</t>
  </si>
  <si>
    <t>OPHN1</t>
  </si>
  <si>
    <t>ARHGAP41|MRX60|OPN1</t>
  </si>
  <si>
    <t>BEWEGING (XL);EPI (XL);MR (XL);OMIM (XL;XLR)</t>
  </si>
  <si>
    <t>OPLAH</t>
  </si>
  <si>
    <t>5-Opase|OPLA|OPLAHD</t>
  </si>
  <si>
    <t>OPN1LW</t>
  </si>
  <si>
    <t>CBBM|CBP|COD5|RCP|ROP</t>
  </si>
  <si>
    <t>OPN1MW</t>
  </si>
  <si>
    <t>CBBM|CBD|COD5|GCP|GOP|OPN1MW1</t>
  </si>
  <si>
    <t>OPN1SW</t>
  </si>
  <si>
    <t>BCP|BOP|CBT</t>
  </si>
  <si>
    <t>OPTN</t>
  </si>
  <si>
    <t>ALS12|FIP2|GLC1E|HIP7|HYPL|NRP|TFIIIA-INTP</t>
  </si>
  <si>
    <t>ALS (AR);BLIND (AD);OMIM (AD;AR)</t>
  </si>
  <si>
    <t>ORAI1</t>
  </si>
  <si>
    <t>CRACM1|IMD9|ORAT1|TAM2|TMEM142A</t>
  </si>
  <si>
    <t>HEMOS (AD);IMMUUN (AR);OMIM (AD,AR);PCS (AR);SPIER (AD)</t>
  </si>
  <si>
    <t>ORC1</t>
  </si>
  <si>
    <t>HSORC1|ORC1L|PARC1</t>
  </si>
  <si>
    <t>LENGTE (AR);MR (AR);OMIM (AR);PCS (AR);SCHISIS (AR)</t>
  </si>
  <si>
    <t>ORC4</t>
  </si>
  <si>
    <t>ORC4L|ORC4P</t>
  </si>
  <si>
    <t>ORC6</t>
  </si>
  <si>
    <t>ORC6L</t>
  </si>
  <si>
    <t>OSBPL2</t>
  </si>
  <si>
    <t>DFNA67|DNFA67|ORP-2|ORP2</t>
  </si>
  <si>
    <t>OSGEP</t>
  </si>
  <si>
    <t>GAMOS3|GCPL1|KAE1|OSGEP1|PRSMG1|TCS3</t>
  </si>
  <si>
    <t>MR (AR);NIER (AR);OMIM (AR);PCS (AR)</t>
  </si>
  <si>
    <t>OSMR</t>
  </si>
  <si>
    <t>IL-31R-beta|IL-31RB|OSMRB|OSMRbeta|PLCA1</t>
  </si>
  <si>
    <t>OSTM1</t>
  </si>
  <si>
    <t>GIPN|GL|HSPC019|OPTB5</t>
  </si>
  <si>
    <t>IMMUUN (AR);LENGTE (AR);OMIM (AR);PCS (AR)</t>
  </si>
  <si>
    <t>OTC</t>
  </si>
  <si>
    <t>OCTD|OTCD</t>
  </si>
  <si>
    <t>OTOA</t>
  </si>
  <si>
    <t>CT108|DFNB22</t>
  </si>
  <si>
    <t>OTOF</t>
  </si>
  <si>
    <t>AUNB1|DFNB6|DFNB9|FER1L2|NSRD9</t>
  </si>
  <si>
    <t>OTOG</t>
  </si>
  <si>
    <t>DFNB18B|MLEMP|OTGN</t>
  </si>
  <si>
    <t>OTOGL</t>
  </si>
  <si>
    <t>C12orf64|DFNB84B</t>
  </si>
  <si>
    <t>OTUD6B</t>
  </si>
  <si>
    <t>CGI-77|DUBA-5|DUBA5|IDDFSDA</t>
  </si>
  <si>
    <t>OTULIN</t>
  </si>
  <si>
    <t>AIPDS|FAM105B|GUM</t>
  </si>
  <si>
    <t>OTX2</t>
  </si>
  <si>
    <t>CPHD6|MCOPS5</t>
  </si>
  <si>
    <t>BLIND (AD);CFA (AD);LENGTE (AD);MR (AD);OMIM (AD;AR);OXPHOS (AR)</t>
  </si>
  <si>
    <t>OVOL2</t>
  </si>
  <si>
    <t>CHED|CHED1|CHED2|EUROIMAGE566589|PPCD1|ZNF339</t>
  </si>
  <si>
    <t>OXA1L</t>
  </si>
  <si>
    <t>OXA1</t>
  </si>
  <si>
    <t>OXCT1</t>
  </si>
  <si>
    <t>OXCT|SCOT</t>
  </si>
  <si>
    <t>OXR1</t>
  </si>
  <si>
    <t>CHEGDD|Nbla00307|TLDC3</t>
  </si>
  <si>
    <t>P2RX2</t>
  </si>
  <si>
    <t>DFNA41|P2X2</t>
  </si>
  <si>
    <t>P2RY12</t>
  </si>
  <si>
    <t>ADPG-R|BDPLT8|HORK3|P2T(AC)|P2Y(12)R|P2Y(AC)|P2Y(ADP)|P2Y(cyc)|P2Y12|SP1999</t>
  </si>
  <si>
    <t>P3H1</t>
  </si>
  <si>
    <t>GROS1|LEPRE1|OI8</t>
  </si>
  <si>
    <t>P3H2</t>
  </si>
  <si>
    <t>LEPREL1|MCVD|MLAT4</t>
  </si>
  <si>
    <t>P4HA2</t>
  </si>
  <si>
    <t>MYP25</t>
  </si>
  <si>
    <t>P4HB</t>
  </si>
  <si>
    <t>CLCRP1|DSI|ERBA2L|GIT|P4Hbeta|PDI|PDIA1|PHDB|PO4DB|PO4HB|PROHB</t>
  </si>
  <si>
    <t>P4HTM</t>
  </si>
  <si>
    <t>EGLN4|HIDEA|HIFPH4|P4H-TM|PH-4|PH4|PHD4</t>
  </si>
  <si>
    <t>PABPN1</t>
  </si>
  <si>
    <t>OPMD|PAB2|PABII|PABP-2|PABP2</t>
  </si>
  <si>
    <t>PACS1</t>
  </si>
  <si>
    <t>MRD17|SHMS</t>
  </si>
  <si>
    <t>PACS2</t>
  </si>
  <si>
    <t>DEE66|EIEE66|PACS-2|PACS1L</t>
  </si>
  <si>
    <t>PADI3</t>
  </si>
  <si>
    <t>PAD3|PDI3|UHS1</t>
  </si>
  <si>
    <t>PADI6</t>
  </si>
  <si>
    <t>PREMBL2|hPADVI</t>
  </si>
  <si>
    <t>PAFAH1B1</t>
  </si>
  <si>
    <t>LIS1|LIS2|MDCR|MDS|NudF|PAFAH</t>
  </si>
  <si>
    <t>PAH</t>
  </si>
  <si>
    <t>PH|PKU|PKU1</t>
  </si>
  <si>
    <t>PAK1</t>
  </si>
  <si>
    <t>IDDMSSD|PAKalpha|alpha-PAK|p65-PAK</t>
  </si>
  <si>
    <t>PAK3</t>
  </si>
  <si>
    <t>ARA|MRX30|MRX47|OPHN3|PAK-3|PAK3beta|bPAK|beta-PAK</t>
  </si>
  <si>
    <t>EPI (XL);MR (XL);OMIM (XLR)</t>
  </si>
  <si>
    <t>PALB2</t>
  </si>
  <si>
    <t>FANCN|PNCA3</t>
  </si>
  <si>
    <t>BMF (AD);BRSTKNK (AD);DERM (AD,AR);OMIM (UK,AR,AD,XL;AD,AR);SHHM (AD);TUMOR (AD)</t>
  </si>
  <si>
    <t>PAM16</t>
  </si>
  <si>
    <t>CGI-136|MAGMAS|SMDMDM|TIM16|TIMM16</t>
  </si>
  <si>
    <t>PANK2</t>
  </si>
  <si>
    <t>C20orf48|HARP|HSS|NBIA1|PKAN</t>
  </si>
  <si>
    <t>BEWEGING (AR);BLIND (AR);IJZER (AR);METAB (AR);MR (AR);OMIM (AR);OXPHOS (AR);PCS (AR)</t>
  </si>
  <si>
    <t>PANX1</t>
  </si>
  <si>
    <t>MRS1|OOMD7|PX1|UNQ2529</t>
  </si>
  <si>
    <t>MR (AR);OMIM (AD;AR)</t>
  </si>
  <si>
    <t>PAPPA2</t>
  </si>
  <si>
    <t>PAPP-A2|PAPP-E|PAPPE|PLAC3</t>
  </si>
  <si>
    <t>PAPSS2</t>
  </si>
  <si>
    <t>ATPSK2|BCYM4|SK2</t>
  </si>
  <si>
    <t>PARK7</t>
  </si>
  <si>
    <t>DJ-1|DJ1|GATD2|HEL-S-67p</t>
  </si>
  <si>
    <t>PARN</t>
  </si>
  <si>
    <t>DAN|DKCB6|PFBMFT4</t>
  </si>
  <si>
    <t>BMF (AD,AR);DKC (AR);IMMUUN (AD,AR);MR (AR);OMIM (AR;AD,AR);PCS (AR);TUMOR (AD,AR)</t>
  </si>
  <si>
    <t>PARP1</t>
  </si>
  <si>
    <t>ADPRT|ADPRT 1|ADPRT1|ARTD1|PARP|PARP-1|PPOL|pADPRT-1</t>
  </si>
  <si>
    <t>PARS2</t>
  </si>
  <si>
    <t>DEE75|EIEE75|MT-PRORS|proRS</t>
  </si>
  <si>
    <t>PATL2</t>
  </si>
  <si>
    <t>OOMD4|Pat1a|hPat1a</t>
  </si>
  <si>
    <t>PAX1</t>
  </si>
  <si>
    <t>HUP48|OFC2</t>
  </si>
  <si>
    <t>IMMUUN (AR);MR (AR);OMIM (AR);PCS (AR);SCID (AR)</t>
  </si>
  <si>
    <t>PAX2</t>
  </si>
  <si>
    <t>FSGS7|PAPRS</t>
  </si>
  <si>
    <t>BLIND (AD);NIER (AD);OMIM (AD)</t>
  </si>
  <si>
    <t>PAX3</t>
  </si>
  <si>
    <t>CDHS|HUP2|WS1|WS3</t>
  </si>
  <si>
    <t>CFA (AD);DERM (AD,AR);DOOF (AD);LENGTE (AD);OMIM (AD;AR;UK,AR,AD,XL;AD,AR);PCS (AR);SCHISIS (AD)</t>
  </si>
  <si>
    <t>PAX4</t>
  </si>
  <si>
    <t>KPD|MODY9</t>
  </si>
  <si>
    <t>PAX5</t>
  </si>
  <si>
    <t>ALL3|BSAP</t>
  </si>
  <si>
    <t>PAX6</t>
  </si>
  <si>
    <t>AN|AN1|AN2|ASGD5|D11S812E|FVH1|MGDA|WAGR</t>
  </si>
  <si>
    <t>BEWEGING (AD);BLIND (AD);CFA (AD);MR (AD,AR);OMIM (AD;AD,AR)</t>
  </si>
  <si>
    <t>PAX7</t>
  </si>
  <si>
    <t>HUP1|MYOSCO|PAX7B|RMS2</t>
  </si>
  <si>
    <t>CFA (AR);MR (AR);OMIM (UK,AR,AD,XL);PCS (AR)</t>
  </si>
  <si>
    <t>PAX8</t>
  </si>
  <si>
    <t>PAX9</t>
  </si>
  <si>
    <t>STHAG3</t>
  </si>
  <si>
    <t>PBX1</t>
  </si>
  <si>
    <t>CAKUHED</t>
  </si>
  <si>
    <t>DSD (AD);IMMUUN (AD,AR);MR (AD);NIER (AD);OMIM (AD;AD,AR)</t>
  </si>
  <si>
    <t>PC</t>
  </si>
  <si>
    <t>PCB</t>
  </si>
  <si>
    <t>PCARE</t>
  </si>
  <si>
    <t>C2orf71|RP54</t>
  </si>
  <si>
    <t>PCBD1</t>
  </si>
  <si>
    <t>DCOH|PCBD|PCD|PHS</t>
  </si>
  <si>
    <t>PCCA</t>
  </si>
  <si>
    <t>HART (AR);IMMUUN (AR);METAB (AR);MR (AR);OMIM (AR);PCS (AR)</t>
  </si>
  <si>
    <t>PCCB</t>
  </si>
  <si>
    <t>PCDH12</t>
  </si>
  <si>
    <t>DMJDS1|VE-cadherin-2|VECAD2</t>
  </si>
  <si>
    <t>PCDH15</t>
  </si>
  <si>
    <t>CDHR15|DFNB23|USH1F</t>
  </si>
  <si>
    <t>BLIND (AR);DOOF (AR);OMIM (AR;UK,AR,AD,XL);PCS (AR)</t>
  </si>
  <si>
    <t>PCDH19</t>
  </si>
  <si>
    <t>DEE9|EFMR|EIEE9</t>
  </si>
  <si>
    <t>PCGF2</t>
  </si>
  <si>
    <t>MEL-18|RNF110|TPFS|ZNF144</t>
  </si>
  <si>
    <t>PCIF1</t>
  </si>
  <si>
    <t>C20orf67|CAPAM|PPP1R121|hCAPAM|hPCIF1</t>
  </si>
  <si>
    <t>PCK1</t>
  </si>
  <si>
    <t>PCKDC|PEPCK-C|PEPCK1|PEPCKC</t>
  </si>
  <si>
    <t>PCK2</t>
  </si>
  <si>
    <t>PEPCK|PEPCK-M|PEPCK2</t>
  </si>
  <si>
    <t>PCLO</t>
  </si>
  <si>
    <t>ACZ|PCH3</t>
  </si>
  <si>
    <t>PCNA</t>
  </si>
  <si>
    <t>ATLD2</t>
  </si>
  <si>
    <t>PCNT</t>
  </si>
  <si>
    <t>KEN|MOPD2|PCN|PCNT2|PCNTB|PCTN2|SCKL4</t>
  </si>
  <si>
    <t>PCSK1</t>
  </si>
  <si>
    <t>BMIQ12|NEC1|PC1|PC3|SPC3</t>
  </si>
  <si>
    <t>PCSK9</t>
  </si>
  <si>
    <t>FH3|FHCL3|HCHOLA3|LDLCQ1|NARC-1|NARC1|PC9</t>
  </si>
  <si>
    <t>PCYT1A</t>
  </si>
  <si>
    <t>CCTA|CCTalpha|CT|CTA|CTPCT|PCYT1|SMDCRD</t>
  </si>
  <si>
    <t>BLIND (AR);LENGTE (AR);METAB (AR);OMIM (AR);PCS (AR)</t>
  </si>
  <si>
    <t>PCYT2</t>
  </si>
  <si>
    <t>ET|SPG82</t>
  </si>
  <si>
    <t>BEWEGING (AR);METAB (AR);MR (AR);OMIM (AR)</t>
  </si>
  <si>
    <t>PDCD10</t>
  </si>
  <si>
    <t>CCM3|TFAR15</t>
  </si>
  <si>
    <t>PDE10A</t>
  </si>
  <si>
    <t>ADSD2|HSPDE10A|IOLOD|LINC00473|PDE10A19</t>
  </si>
  <si>
    <t>BEWEGING (AD,AR);OMIM (AD,AR);PCS (AR)</t>
  </si>
  <si>
    <t>PDE11A</t>
  </si>
  <si>
    <t>PPNAD2</t>
  </si>
  <si>
    <t>PDE1C</t>
  </si>
  <si>
    <t>DFNA74|Hcam3|cam-PDE 1C|hCam-3</t>
  </si>
  <si>
    <t>PDE2A</t>
  </si>
  <si>
    <t>CGS-PDE|IDDPADS|PDE2A1|PED2A4|cGSPDE</t>
  </si>
  <si>
    <t>PDE3A</t>
  </si>
  <si>
    <t>CGI-PDE|CGI-PDE A|CGI-PDE-A|HTNB</t>
  </si>
  <si>
    <t>PDE4D</t>
  </si>
  <si>
    <t>ACRDYS2|DPDE3|HSPDE4D|PDE43|PDE4DN2|STRK1</t>
  </si>
  <si>
    <t>PDE6A</t>
  </si>
  <si>
    <t>CGPR-A|PDEA|RP43</t>
  </si>
  <si>
    <t>PDE6B</t>
  </si>
  <si>
    <t>CSNB3|CSNBAD2|GMP-PDEbeta|PDEB|RP40|rd1</t>
  </si>
  <si>
    <t>PDE6C</t>
  </si>
  <si>
    <t>ACHM5|COD4|PDEA2</t>
  </si>
  <si>
    <t>PDE6D</t>
  </si>
  <si>
    <t>JBTS22|PDED</t>
  </si>
  <si>
    <t>PDE6G</t>
  </si>
  <si>
    <t>PDEG|RP57</t>
  </si>
  <si>
    <t>PDE6H</t>
  </si>
  <si>
    <t>ACHM6|RCD3</t>
  </si>
  <si>
    <t>PDE8B</t>
  </si>
  <si>
    <t>ADSD|PPNAD3</t>
  </si>
  <si>
    <t>PDGFB</t>
  </si>
  <si>
    <t>IBGC5|PDGF-2|PDGF2|SIS|SSV|c-sis</t>
  </si>
  <si>
    <t>BEWEGING (AD);DERM (AD);OMIM (AD);PARK (AD);TUMOR (AD)</t>
  </si>
  <si>
    <t>PDGFRA</t>
  </si>
  <si>
    <t>CD140A|PDGFR-2|PDGFR2</t>
  </si>
  <si>
    <t>PDGFRB</t>
  </si>
  <si>
    <t>CD140B|IBGC4|IMF1|JTK12|KOGS|PDGFR|PDGFR-1|PDGFR1|PENTT</t>
  </si>
  <si>
    <t>BEWEGING (AD);DERM (AD);MR (AD);OMIM (AD);PARK (AD)</t>
  </si>
  <si>
    <t>PDGFRL</t>
  </si>
  <si>
    <t>PDGRL|PRLTS</t>
  </si>
  <si>
    <t>PDHA1</t>
  </si>
  <si>
    <t>PDHA|PDHAD|PDHCE1A|PHE1A</t>
  </si>
  <si>
    <t>BEWEGING (XL);EPI (XL);MR (XL);OMIM (XL);OXPHOS (XL)</t>
  </si>
  <si>
    <t>PDHB</t>
  </si>
  <si>
    <t>PDHBD|PDHE1-B|PDHE1B|PHE1B</t>
  </si>
  <si>
    <t>EPI (AR);OMIM (AR;UK,AR,AD,XL);OXPHOS (AR);PCS (AR)</t>
  </si>
  <si>
    <t>PDHX</t>
  </si>
  <si>
    <t>DLDBP|E3BP|OPDX|PDHXD|PDX1|proX</t>
  </si>
  <si>
    <t>PDK1</t>
  </si>
  <si>
    <t>PDK2</t>
  </si>
  <si>
    <t>PDHK2|PDKII</t>
  </si>
  <si>
    <t>PDK3</t>
  </si>
  <si>
    <t>CMTX6|GS1-358P8.4</t>
  </si>
  <si>
    <t>HMSN (XL);OMIM (XL);OXPHOS (XL)</t>
  </si>
  <si>
    <t>PDK4</t>
  </si>
  <si>
    <t>PDLIM3</t>
  </si>
  <si>
    <t>ALP</t>
  </si>
  <si>
    <t>PDLIM5</t>
  </si>
  <si>
    <t>ENH|ENH1|L9|LIM</t>
  </si>
  <si>
    <t>PDP1</t>
  </si>
  <si>
    <t>PDH|PDP|PDPC|PPM2A|PPM2C</t>
  </si>
  <si>
    <t>PDSS1</t>
  </si>
  <si>
    <t>COQ1|COQ10D2|COQ1A|DPS|SPS|TPRT|TPT|TPT 1|hDPS1</t>
  </si>
  <si>
    <t>PDSS2</t>
  </si>
  <si>
    <t>C6orf210|COQ10D3|COQ1B|DLP1|bA59I9.3|hDLP1</t>
  </si>
  <si>
    <t>PDX1</t>
  </si>
  <si>
    <t>GSF|IDX-1|IPF1|IUF1|MODY4|PAGEN1|PDX-1|STF-1</t>
  </si>
  <si>
    <t>PDXK</t>
  </si>
  <si>
    <t>C21orf124|C21orf97|HEL-S-1a|HMSN6C|PKH|PNK|PRED79</t>
  </si>
  <si>
    <t>PDYN</t>
  </si>
  <si>
    <t>ADCA|PENKB|SCA23</t>
  </si>
  <si>
    <t>PDZD7</t>
  </si>
  <si>
    <t>DFNB57|PDZK7</t>
  </si>
  <si>
    <t>PEPD</t>
  </si>
  <si>
    <t>PROLIDASE</t>
  </si>
  <si>
    <t>DERM (AR);IMMUUN (AR);METAB (AR);MR (AR);OMIM (AR);PCS (AR)</t>
  </si>
  <si>
    <t>PER2</t>
  </si>
  <si>
    <t>FASPS|FASPS1</t>
  </si>
  <si>
    <t>PER3</t>
  </si>
  <si>
    <t>FASPS3|GIG13</t>
  </si>
  <si>
    <t>PERCC1</t>
  </si>
  <si>
    <t>DIAR11|ICR|gs104</t>
  </si>
  <si>
    <t>PERP</t>
  </si>
  <si>
    <t>EKVP7|KCP1|KRTCAP1|OLMS2|PIGPC1|THW|dJ496H19.1</t>
  </si>
  <si>
    <t>DERM (AD,AR);OMIM (AD,AR)</t>
  </si>
  <si>
    <t>PET100</t>
  </si>
  <si>
    <t>C19orf79|MC4DN12</t>
  </si>
  <si>
    <t>PET117</t>
  </si>
  <si>
    <t>CSRP2BP|MC4DN19</t>
  </si>
  <si>
    <t>PEX1</t>
  </si>
  <si>
    <t>HMLR1|PBD1A|PBD1B|ZWS|ZWS1</t>
  </si>
  <si>
    <t>BLIND (AR);DOOF (AR);EPI (AR);HMSN (AR);LEVER (AR);METAB (AR);MR (AR);OMIM (AR);PCS (AR)</t>
  </si>
  <si>
    <t>PEX10</t>
  </si>
  <si>
    <t>NALD|PBD6A|PBD6B|RNF69</t>
  </si>
  <si>
    <t>BEWEGING (AR);EPI (AR);HMSN (AR);LEVER (AR);METAB (AR);MR (AR);OMIM (AR);PCS (AR)</t>
  </si>
  <si>
    <t>PEX11B</t>
  </si>
  <si>
    <t>PEX11-BETA|PEX14B</t>
  </si>
  <si>
    <t>PEX12</t>
  </si>
  <si>
    <t>PAF-3|PBD3A</t>
  </si>
  <si>
    <t>EPI (AR);LEVER (AR);METAB (AR);MR (AR);OMIM (AR);PCS (AR)</t>
  </si>
  <si>
    <t>PEX13</t>
  </si>
  <si>
    <t>NALD|PBD11A|PBD11B|ZWS</t>
  </si>
  <si>
    <t>PEX14</t>
  </si>
  <si>
    <t>NAPP2|PBD13A|Pex14p|dJ734G22.2</t>
  </si>
  <si>
    <t>EPI (AR);LEVER (AR);METAB (AR);OMIM (AR);PCS (AR)</t>
  </si>
  <si>
    <t>PEX16</t>
  </si>
  <si>
    <t>PBD8A|PBD8B</t>
  </si>
  <si>
    <t>EPI (AR);HMSN (AR);IMMUUN (AR);LEVER (AR);METAB (AR);MR (AR);OMIM (AR);PCS (AR)</t>
  </si>
  <si>
    <t>PEX19</t>
  </si>
  <si>
    <t>D1S2223E|HK33|PBD12A|PMP1|PMPI|PXF|PXMP1</t>
  </si>
  <si>
    <t>PEX2</t>
  </si>
  <si>
    <t>PAF1|PBD5A|PBD5B|PMP3|PMP35|PXMP3|RNF72|ZWS3</t>
  </si>
  <si>
    <t>BEWEGING (AR);BLIND (AR);LEVER (AR);METAB (AR);MR (AR);OMIM (AR);PCS (AR)</t>
  </si>
  <si>
    <t>PEX26</t>
  </si>
  <si>
    <t>PBD7A|PBD7B|PEX26M1T|Pex26pM1T</t>
  </si>
  <si>
    <t>BLIND (AR);DOOF (AR);EPI (AR);LEVER (AR);METAB (AR);MR (AR);OMIM (AR);PCS (AR)</t>
  </si>
  <si>
    <t>PEX3</t>
  </si>
  <si>
    <t>PBD10A|PBD10B|TRG18</t>
  </si>
  <si>
    <t>PEX5</t>
  </si>
  <si>
    <t>PBD2A|PBD2B|PTS1-BP|PTS1R|PXR1|RCDP5</t>
  </si>
  <si>
    <t>EPI (AR);HART (AR);LENGTE (AR);LEVER (AR);METAB (AR);MR (AR);OMIM (AR);PCS (AR)</t>
  </si>
  <si>
    <t>PEX6</t>
  </si>
  <si>
    <t>HMLR2|PAF-2|PAF2|PBD4A|PDB4B|PXAAA1</t>
  </si>
  <si>
    <t>BLIND (AR);DOOF (AR);EPI (AR);LENGTE (AR);LEVER (AR);METAB (AR);MR (AR);OMIM (AR;AD,AR);PCS (AR)</t>
  </si>
  <si>
    <t>PEX7</t>
  </si>
  <si>
    <t>PBD9B|PTS2R|RCDP1|RD</t>
  </si>
  <si>
    <t>BEWEGING (AR);BLIND (AR);DERM (AR);HART (AR);HMSN (AR);LENGTE (AR);LEVER (AR);METAB (AR);MR (AR);OMIM (AR);PCS (AR)</t>
  </si>
  <si>
    <t>PFKM</t>
  </si>
  <si>
    <t>ATP-PFK|GSD7|PFK-1|PFK-A|PFK1|PFKA|PFKX|PPP1R122</t>
  </si>
  <si>
    <t>PFN1</t>
  </si>
  <si>
    <t>ALS18</t>
  </si>
  <si>
    <t>ALS (AD);OMIM (UK,AR,AD,XL)</t>
  </si>
  <si>
    <t>PGAM2</t>
  </si>
  <si>
    <t>GSD10|PGAM-M|PGAMM</t>
  </si>
  <si>
    <t>PGAP1</t>
  </si>
  <si>
    <t>Bst1|ISPD3024|MRT42|SPG67</t>
  </si>
  <si>
    <t>PGAP2</t>
  </si>
  <si>
    <t>CWH43-N|FRAG1|HPMRS3|MRT17|MRT21</t>
  </si>
  <si>
    <t>PGAP3</t>
  </si>
  <si>
    <t>AGLA546|CAB2|PERLD1|PP1498|hCOS16</t>
  </si>
  <si>
    <t>PGK1</t>
  </si>
  <si>
    <t>HEL-S-68p|MIG10|PGKA</t>
  </si>
  <si>
    <t>BLIND (XL);METAB (AR);MR (XL);OMIM (XLR;AR);SPIER (XL)</t>
  </si>
  <si>
    <t>PGM1</t>
  </si>
  <si>
    <t>CDG1T|GSD14</t>
  </si>
  <si>
    <t>CFA (AR);HART (AR);METAB (AR);OMIM (AR);PCS (AR);SCHISIS (AR);SPIER (AR)</t>
  </si>
  <si>
    <t>PGM3</t>
  </si>
  <si>
    <t>AGM1|IMD23|PAGM|PGM 3</t>
  </si>
  <si>
    <t>PHACTR1</t>
  </si>
  <si>
    <t>DEE70|EIEE70|RPEL|RPEL1|dJ257A7.2</t>
  </si>
  <si>
    <t>PHC1</t>
  </si>
  <si>
    <t>EDR1|HPH1|MCPH11|RAE28</t>
  </si>
  <si>
    <t>PHEX</t>
  </si>
  <si>
    <t>HPDR|HPDR1|HYP|HYP1|LXHR|PEX|XLH</t>
  </si>
  <si>
    <t>DERM (XL);LENGTE (XL);NIER (XL);OMIM (XL)</t>
  </si>
  <si>
    <t>PHF21A</t>
  </si>
  <si>
    <t>BHC80|BM-006|IDDBCS|NEDMS</t>
  </si>
  <si>
    <t>PHF6</t>
  </si>
  <si>
    <t>BFLS|BORJ|CENP-31</t>
  </si>
  <si>
    <t>PHF8</t>
  </si>
  <si>
    <t>JHDM1F|KDM7B|MRXSSD|ZNF422</t>
  </si>
  <si>
    <t>MR (XL);OMIM (XLR);SCHISIS (XLR)</t>
  </si>
  <si>
    <t>PHGDH</t>
  </si>
  <si>
    <t>3-PGDH|3PGDH|HEL-S-113|NLS|NLS1|PDG|PGAD|PGD|PGDH|PHGDHD|SERA</t>
  </si>
  <si>
    <t>AKI (AR);DERM (AR);EPI (AR);LENGTE (AR);METAB (AR);MR (AR);OMIM (AR);PCS (AR);SCHISIS (AR)</t>
  </si>
  <si>
    <t>PHIP</t>
  </si>
  <si>
    <t>BRWD2|CHUJANS|DCAF14|DIDOD|WDR11|ndrp</t>
  </si>
  <si>
    <t>PHKA1</t>
  </si>
  <si>
    <t>PHKA</t>
  </si>
  <si>
    <t>HART (XLR);METAB (XL);OMIM (XLR);SPIER (XL)</t>
  </si>
  <si>
    <t>PHKA2</t>
  </si>
  <si>
    <t>GSD9A|PHK|PYK|PYKL|XLG|XLG2</t>
  </si>
  <si>
    <t>METAB (XL);OMIM (XLR)</t>
  </si>
  <si>
    <t>PHKB</t>
  </si>
  <si>
    <t>METAB (XL);OMIM (AR;XL);PCS (AR)</t>
  </si>
  <si>
    <t>PHKG1</t>
  </si>
  <si>
    <t>PHKG</t>
  </si>
  <si>
    <t>PHKG2</t>
  </si>
  <si>
    <t>GSD9C</t>
  </si>
  <si>
    <t>PHOX2A</t>
  </si>
  <si>
    <t>ARIX|CFEOM2|FEOM2|NCAM2|PMX2A</t>
  </si>
  <si>
    <t>BLIND (AR);OMIM (AR);PCS (AR);SPIER (AR)</t>
  </si>
  <si>
    <t>PHOX2B</t>
  </si>
  <si>
    <t>CCHS|NBLST2|NBPhox|PMX2B</t>
  </si>
  <si>
    <t>PHYH</t>
  </si>
  <si>
    <t>LN1|LNAP1|PAHX|PHYH1|RD</t>
  </si>
  <si>
    <t>BEWEGING (AR);BLIND (AR);DERM (AR);HART (AR);HMSN (AR);METAB (AR);OMIM (AR);PCS (AR)</t>
  </si>
  <si>
    <t>PI4K2A</t>
  </si>
  <si>
    <t>PI4KII|PIK42A</t>
  </si>
  <si>
    <t>PI4KA</t>
  </si>
  <si>
    <t>PI4K-ALPHA|PIK4CA|PMGYCHA|pi4K230</t>
  </si>
  <si>
    <t>PI4KB</t>
  </si>
  <si>
    <t>NPIK|PI4K-BETA|PI4K92|PI4KBETA|PI4KIII|PI4KIIIBETA|PIK4CB</t>
  </si>
  <si>
    <t>PIBF1</t>
  </si>
  <si>
    <t>C13orf24|CEP90|JBTS33|PIBF</t>
  </si>
  <si>
    <t>PICALM</t>
  </si>
  <si>
    <t>CALM|CLTH|LAP</t>
  </si>
  <si>
    <t>PIEZO1</t>
  </si>
  <si>
    <t>DHS|FAM38A|LMPH3|LMPHM6|Mib</t>
  </si>
  <si>
    <t>DERM (AD);OMIM (AD,AR);PCS (AR)</t>
  </si>
  <si>
    <t>PIEZO2</t>
  </si>
  <si>
    <t>C18orf30|C18orf58|DA3|DA5|DAIPT|FAM38B|FAM38B2|HsT748|HsT771|MWKS</t>
  </si>
  <si>
    <t>AKI (AD,AR);HMSN (AR);HNPD (AD);OMIM (AR;AD,AR);PCS (AR);SCHISIS (AD);SPIER (AD,AR)</t>
  </si>
  <si>
    <t>PIGA</t>
  </si>
  <si>
    <t>GPI3|MCAHS2|PIG-A|PNH1</t>
  </si>
  <si>
    <t>DERM (XL);EPI (XL);HEMOS (UK,AR,AD,XL);IMMUUN (XL);METAB (AR);MR (XL);OMIM (XL;XLR;AR;UK,AR,AD,XL);OXPHOS (XL)</t>
  </si>
  <si>
    <t>PIGB</t>
  </si>
  <si>
    <t>DEE80|EIEE80|GPI-MT-III|PIG-B</t>
  </si>
  <si>
    <t>PIGC</t>
  </si>
  <si>
    <t>GPI2|GPIBD16|MRT62</t>
  </si>
  <si>
    <t>PIGG</t>
  </si>
  <si>
    <t>GPI7|LAS21|MRT53|PRO4405|RLGS1930</t>
  </si>
  <si>
    <t>PIGH</t>
  </si>
  <si>
    <t>GPI-H</t>
  </si>
  <si>
    <t>PIGK</t>
  </si>
  <si>
    <t>GPI8|NEDHCAS</t>
  </si>
  <si>
    <t>PIGL</t>
  </si>
  <si>
    <t>CHIME</t>
  </si>
  <si>
    <t>PIGM</t>
  </si>
  <si>
    <t>GPI-MT-I</t>
  </si>
  <si>
    <t>PIGN</t>
  </si>
  <si>
    <t>MCAHS|MCAHS1|MCD4|MDC4|PIG-N</t>
  </si>
  <si>
    <t>DERM (AR);EPI (AR);METAB (AR);MR (AR);OMIM (AR);PCS (AR);SCHISIS (AR)</t>
  </si>
  <si>
    <t>PIGO</t>
  </si>
  <si>
    <t>HPMRS2</t>
  </si>
  <si>
    <t>PIGP</t>
  </si>
  <si>
    <t>DCRC|DCRC-S|DEE55|DSCR5|DSRC|EIEE55|PIG-P</t>
  </si>
  <si>
    <t>PIGQ</t>
  </si>
  <si>
    <t>DEE77|EIEE77|GPI1|c407A10.1</t>
  </si>
  <si>
    <t>PIGS</t>
  </si>
  <si>
    <t>GPIBD18</t>
  </si>
  <si>
    <t>PIGT</t>
  </si>
  <si>
    <t>CGI-06|MCAHS3|NDAP|PNH2</t>
  </si>
  <si>
    <t>EPI (AR);METAB (AR);MR (AR);OMIM (AR;UK,AR,AD,XL);PCS (AR)</t>
  </si>
  <si>
    <t>PIGU</t>
  </si>
  <si>
    <t>CDC91L1|GAB1|GPIBD21|NEDBSS</t>
  </si>
  <si>
    <t>PIGV</t>
  </si>
  <si>
    <t>GPI-MT-II|HPMRS1|PIG-V</t>
  </si>
  <si>
    <t>PIGW</t>
  </si>
  <si>
    <t>Gwt1|HPMRS5</t>
  </si>
  <si>
    <t>PIGY</t>
  </si>
  <si>
    <t>HPMRS6|PIG-Y</t>
  </si>
  <si>
    <t>PIK3C2A</t>
  </si>
  <si>
    <t>CPK|OCSKD|PI3-K-C2(ALPHA)|PI3-K-C2A|PI3K-C2-alpha|PI3K-C2alpha</t>
  </si>
  <si>
    <t>PIK3C3</t>
  </si>
  <si>
    <t>VPS34|Vps34|hVps34</t>
  </si>
  <si>
    <t>PIK3CA</t>
  </si>
  <si>
    <t>CLAPO|CLOVE|CWS5|MCAP|MCM|MCMTC|PI3K|PI3K-alpha|p110-alpha</t>
  </si>
  <si>
    <t>DERM (AD);METAB (AR);MR (AD);OMIM (UK,AR,AD,XL);TUMOR (AD)</t>
  </si>
  <si>
    <t>PIK3CD</t>
  </si>
  <si>
    <t>APDS|IMD14|P110DELTA|PI3K|p110D</t>
  </si>
  <si>
    <t>IMMUUN (AD,AR);OMIM (AD;AD,AR)</t>
  </si>
  <si>
    <t>PIK3CG</t>
  </si>
  <si>
    <t>PI3CG|PI3K|PI3Kgamma|PIK3|p110gamma|p120-PI3K</t>
  </si>
  <si>
    <t>PIK3R1</t>
  </si>
  <si>
    <t>AGM7|GRB1|IMD36|p85|p85-ALPHA</t>
  </si>
  <si>
    <t>IMMUUN (AR);LENGTE (AD);METAB (AR);OMIM (AR;AD,AR);PCS (AR)</t>
  </si>
  <si>
    <t>PIK3R2</t>
  </si>
  <si>
    <t>MPPH|MPPH1|P85B|p85|p85-BETA</t>
  </si>
  <si>
    <t>METAB (AR);MR (AD);OMIM (AD;AR)</t>
  </si>
  <si>
    <t>PIK3R5</t>
  </si>
  <si>
    <t>F730038I15Rik|FOAP-2|P101-PI3K|p101</t>
  </si>
  <si>
    <t>PIKFYVE</t>
  </si>
  <si>
    <t>CFD|FAB1|HEL37|PIP5K|PIP5K3|ZFYVE29</t>
  </si>
  <si>
    <t>BLIND (AD);METAB (AR);OMIM (AD;AR)</t>
  </si>
  <si>
    <t>PINK1</t>
  </si>
  <si>
    <t>BRPK|PARK6</t>
  </si>
  <si>
    <t>PIP5K1C</t>
  </si>
  <si>
    <t>LCCS3|PIP5K-GAMMA|PIP5K1-gamma|PIP5Kgamma</t>
  </si>
  <si>
    <t>AKI (AR);METAB (AR);OMIM (AR);PCS (AR);SPIER (AR)</t>
  </si>
  <si>
    <t>PISD</t>
  </si>
  <si>
    <t>DJ858B16|LIBF|PSD|PSDC|PSSC|dJ858B16.2</t>
  </si>
  <si>
    <t>DOOF (AR);LENGTE (AR);OMIM (AR);OXPHOS (AR)</t>
  </si>
  <si>
    <t>PITPNM3</t>
  </si>
  <si>
    <t>ACKR6|CORD5|NIR1|RDGBA3</t>
  </si>
  <si>
    <t>PITRM1</t>
  </si>
  <si>
    <t>MP1|PreP</t>
  </si>
  <si>
    <t>PITX1</t>
  </si>
  <si>
    <t>BFT|CCF|LBNBG|POTX|PTX1</t>
  </si>
  <si>
    <t>PITX2</t>
  </si>
  <si>
    <t>ARP1|ASGD4|Brx1|IDG2|IGDS|IGDS2|IHG2|IRID2|Otlx2|PTX2|RGS|RIEG|RIEG1|RS</t>
  </si>
  <si>
    <t>BLIND (AR);CFA (AD);DERM (AD);HART (AD);LENGTE (AD);OMIM (AD;AR)</t>
  </si>
  <si>
    <t>PITX3</t>
  </si>
  <si>
    <t>ASGD1|ASMD|ASOD|CTPP4|CTRCT11|PTX3</t>
  </si>
  <si>
    <t>BLIND (AD);OMIM (AD,AR)</t>
  </si>
  <si>
    <t>PJVK</t>
  </si>
  <si>
    <t>DFNB59</t>
  </si>
  <si>
    <t>PKD1</t>
  </si>
  <si>
    <t>PBP|PC1|Pc-1|TRPP1</t>
  </si>
  <si>
    <t>ANEURYSM (AD);CILIO (AD);LEVER (AD);NIER (AD);OMIM (AD)</t>
  </si>
  <si>
    <t>PKD1L1</t>
  </si>
  <si>
    <t>HTX8|PRO19563</t>
  </si>
  <si>
    <t>CHD (AR);HART (AR);OMIM (AR);PCS (AR)</t>
  </si>
  <si>
    <t>PKD2</t>
  </si>
  <si>
    <t>APKD2|PC2|PKD4|Pc-2|TRPP2</t>
  </si>
  <si>
    <t>PKDCC</t>
  </si>
  <si>
    <t>RLSDF|SGK493|Vlk</t>
  </si>
  <si>
    <t>PKHD1</t>
  </si>
  <si>
    <t>ARPKD|FCYT|FPC|PKD4|TIGM1</t>
  </si>
  <si>
    <t>PKLR</t>
  </si>
  <si>
    <t>PK1|PKL|PKRL|RPK</t>
  </si>
  <si>
    <t>PKP1</t>
  </si>
  <si>
    <t>B6P|EDSFS</t>
  </si>
  <si>
    <t>PKP2</t>
  </si>
  <si>
    <t>ARVD9</t>
  </si>
  <si>
    <t>PKP4</t>
  </si>
  <si>
    <t>p0071</t>
  </si>
  <si>
    <t>PLA2G4A</t>
  </si>
  <si>
    <t>GURDP|PLA2G4|cPLA2|cPLA2-alpha</t>
  </si>
  <si>
    <t>PLA2G5</t>
  </si>
  <si>
    <t>FRFB|GV-PLA2|PLA2-10|hVPLA(2)</t>
  </si>
  <si>
    <t>PLA2G6</t>
  </si>
  <si>
    <t>CaI-PLA2|GVI|INAD1|IPLA2-VIA|NBIA2|NBIA2A|NBIA2B|PARK14|PLA2|PNPLA9|iPLA2|iPLA2beta</t>
  </si>
  <si>
    <t>BEWEGING (AR);EPI (AR);HMSN (AR);METAB (AR);MR (AR);OMIM (AR);OXPHOS (AR);PARK (AR);PCS (AR)</t>
  </si>
  <si>
    <t>PLA2G7</t>
  </si>
  <si>
    <t>LDL-PLA2|LP-PLA2|PAFAD|PAFAH</t>
  </si>
  <si>
    <t>ANEURYSM (AD);HEMOS (AD,AR);METAB (AR);OMIM (AR;AD;AD,AR);PCS (AR)</t>
  </si>
  <si>
    <t>PLAA</t>
  </si>
  <si>
    <t>DOA1|NDMSBA|PLA2P|PLAP</t>
  </si>
  <si>
    <t>PLAG1</t>
  </si>
  <si>
    <t>PSA|SGPA|SRS4|ZNF912</t>
  </si>
  <si>
    <t>LENGTE (AD);OMIM (AD;UK,AR,AD,XL)</t>
  </si>
  <si>
    <t>PLAT</t>
  </si>
  <si>
    <t>T-PA|TPA</t>
  </si>
  <si>
    <t>PLAU</t>
  </si>
  <si>
    <t>ATF|BDPLT5|QPD|UPA|URK|u-PA</t>
  </si>
  <si>
    <t>ANEURYSM (AD);HEMOS (AD);OMIM (AD)</t>
  </si>
  <si>
    <t>PLAUR</t>
  </si>
  <si>
    <t>CD87|U-PAR|UPAR|URKR</t>
  </si>
  <si>
    <t>PLCB1</t>
  </si>
  <si>
    <t>DEE12|EIEE12|PI-PLC|PLC-154|PLC-I|PLC-beta-1|PLC154|PLCB1A|PLCB1B</t>
  </si>
  <si>
    <t>PLCB3</t>
  </si>
  <si>
    <t>SMDCD</t>
  </si>
  <si>
    <t>PLCB4</t>
  </si>
  <si>
    <t>ARCND2|PI-PLC</t>
  </si>
  <si>
    <t>CFA (AD,AR);LENGTE (AD,AR);METAB (AR);OMIM (AD,AR);SCHISIS (AD,AR)</t>
  </si>
  <si>
    <t>PLCD1</t>
  </si>
  <si>
    <t>NDNC3|PLC-III</t>
  </si>
  <si>
    <t>DERM (AD,AR);METAB (AR);OMIM (AR;AD,AR);PCS (AR)</t>
  </si>
  <si>
    <t>PLCE1</t>
  </si>
  <si>
    <t>NPHS3|PLCE|PPLC</t>
  </si>
  <si>
    <t>PLCG2</t>
  </si>
  <si>
    <t>APLAID|FCAS3|PLC-IV|PLC-gamma-2</t>
  </si>
  <si>
    <t>DERM (AD);IMMUUN (AD);METAB (AR);OMIM (AD;AR)</t>
  </si>
  <si>
    <t>PLCZ1</t>
  </si>
  <si>
    <t>NYD-SP27|PLC-zeta-1|PLCzeta|SPGF17</t>
  </si>
  <si>
    <t>PLD1</t>
  </si>
  <si>
    <t>CVDD</t>
  </si>
  <si>
    <t>PLD3</t>
  </si>
  <si>
    <t>AD19|HU-K4|HUK4|SCA46</t>
  </si>
  <si>
    <t>PLEC</t>
  </si>
  <si>
    <t>EBS1|EBSMD|EBSND|EBSO|EBSOG|EBSPA|HD1|LGMD2Q|LGMDR17|PCN|PLEC1|PLEC1b|PLTN</t>
  </si>
  <si>
    <t>DERM (AR);OMIM (AR;AD,AR);PCS (AR);SPIER (AR)</t>
  </si>
  <si>
    <t>PLEKHG2</t>
  </si>
  <si>
    <t>ARHGEF42|CLG|CTB-60E11.4|LDAMD</t>
  </si>
  <si>
    <t>PLEKHG5</t>
  </si>
  <si>
    <t>CMTRIC|DSMA4|GEF720|Syx|Tech</t>
  </si>
  <si>
    <t>PLEKHM1</t>
  </si>
  <si>
    <t>AP162|B2|OPTA3|OPTB6</t>
  </si>
  <si>
    <t>IMMUUN (AR);LENGTE (AR);OMIM (AD,AR);PCS (AR)</t>
  </si>
  <si>
    <t>PLEKHM2</t>
  </si>
  <si>
    <t>SKIP</t>
  </si>
  <si>
    <t>PLG</t>
  </si>
  <si>
    <t>ANEURYSM (AD);DERM (AR);HEMOS (AR);IMMUUN (AR);OMIM (AR;AD);PCS (AR)</t>
  </si>
  <si>
    <t>PLIN1</t>
  </si>
  <si>
    <t>FPLD4|PERI|PLIN</t>
  </si>
  <si>
    <t>DERM (AD);METAB (AD);OMIM (AD)</t>
  </si>
  <si>
    <t>PLK4</t>
  </si>
  <si>
    <t>MCCRP2|SAK|STK18</t>
  </si>
  <si>
    <t>BLIND (AR);LENGTE (AR);MR (AR);OMIM (AR);PCS (AR)</t>
  </si>
  <si>
    <t>PLN</t>
  </si>
  <si>
    <t>CMD1P|CMH18|PLB</t>
  </si>
  <si>
    <t>PLOD1</t>
  </si>
  <si>
    <t>EDS6|EDSKCL1|LH|LH1|LLH|PLOD</t>
  </si>
  <si>
    <t>AKI (AR);ANEURYSM (AR);DERM (AR);HART (AR);LENGTE (AR);METAB (AR);OMIM (AR);PCS (AR)</t>
  </si>
  <si>
    <t>PLOD2</t>
  </si>
  <si>
    <t>BRKS2|LH2|TLH</t>
  </si>
  <si>
    <t>PLOD3</t>
  </si>
  <si>
    <t>LH3</t>
  </si>
  <si>
    <t>DERM (AR);DOOF (AR);METAB (AR);OMIM (AR);PCS (AR)</t>
  </si>
  <si>
    <t>PLP1</t>
  </si>
  <si>
    <t>GPM6C|HLD1|MMPL|PLP|PLP/DM20|PMD|SPG2</t>
  </si>
  <si>
    <t>BEWEGING (XL);EPI (XL);MR (XL);OMIM (XLR)</t>
  </si>
  <si>
    <t>PLPBP</t>
  </si>
  <si>
    <t>EPVB6D|PROSC</t>
  </si>
  <si>
    <t>PLPP6</t>
  </si>
  <si>
    <t>PDP1|PPAPDC2|PSDP|bA6J24.6</t>
  </si>
  <si>
    <t>PLS1</t>
  </si>
  <si>
    <t>DFNA76</t>
  </si>
  <si>
    <t>PLS3</t>
  </si>
  <si>
    <t>BMND18|T-plastin</t>
  </si>
  <si>
    <t>LENGTE (XL);OMIM (XL)</t>
  </si>
  <si>
    <t>PLVAP</t>
  </si>
  <si>
    <t>DIAR10|FELS|PV-1|PV1|gp68</t>
  </si>
  <si>
    <t>PLXNA1</t>
  </si>
  <si>
    <t>NOV|NOVP|PLEXIN-A1|PLXN1</t>
  </si>
  <si>
    <t>DSD (UK,AR,AD,XL);HH (UK,AR,AD,XL);OMIM (UK,AR,AD,XL)</t>
  </si>
  <si>
    <t>PLXND1</t>
  </si>
  <si>
    <t>PLEXD1</t>
  </si>
  <si>
    <t>PMEPA1</t>
  </si>
  <si>
    <t>STAG1|TMEPAI</t>
  </si>
  <si>
    <t>PMFBP1</t>
  </si>
  <si>
    <t>SPGF31|STAP</t>
  </si>
  <si>
    <t>PML</t>
  </si>
  <si>
    <t>MYL|PP8675|RNF71|TRIM19</t>
  </si>
  <si>
    <t>PMM2</t>
  </si>
  <si>
    <t>CDG1|CDG1a|CDGS|PMI|PMI1|PMM 2</t>
  </si>
  <si>
    <t>BEWEGING (AR);EPI (AR);HART (AR);HMSN (AR);IMMUUN (AR);METAB (AR);MR (AR);NIER (AR);OMIM (AR);PCS (AR)</t>
  </si>
  <si>
    <t>PMP2</t>
  </si>
  <si>
    <t>CMT1G|FABP8|M-FABP|MP2|P2</t>
  </si>
  <si>
    <t>PMP22</t>
  </si>
  <si>
    <t>CIDP|CMT1A|CMT1E|DSS|GAS-3|GAS3|HMSNIA|HNPP|Sp110</t>
  </si>
  <si>
    <t>BEWEGING (AD);HMSN (AD);HNPD (AD,AR);OMIM (UK,AR,AD,XL;AD,AR)</t>
  </si>
  <si>
    <t>PMPCA</t>
  </si>
  <si>
    <t>Alpha-MPP|CLA1|CPD3|INPP5E|MAS2|P-55|SCAR2</t>
  </si>
  <si>
    <t>PMPCB</t>
  </si>
  <si>
    <t>Beta-MPP|MAS1|MPP11|MPPB|MPPP52|P-52</t>
  </si>
  <si>
    <t>PMS2</t>
  </si>
  <si>
    <t>HNPCC4|MLH4|MMRCS4|PMS2CL|PMSL2</t>
  </si>
  <si>
    <t>BMF (AD,AR);DERM (AD);OMIM (AD;AR;AD,AR);PCS (AR);TUMOR (AD,AR)</t>
  </si>
  <si>
    <t>PMS2CL</t>
  </si>
  <si>
    <t>PMS2P13</t>
  </si>
  <si>
    <t>PMVK</t>
  </si>
  <si>
    <t>HUMPMKI|PMK|PMKA|PMKASE|POROK1</t>
  </si>
  <si>
    <t>PNKD</t>
  </si>
  <si>
    <t>BRP17|DYT8|FKSG19|FPD1|KIPP1184|MR-1|MR-1S|MR1|PDC|PKND1|PNKD1|R1|TAHCCP2</t>
  </si>
  <si>
    <t>PNKP</t>
  </si>
  <si>
    <t>AOA4|CMT2B2|EIEE10|MCSZ|PNK</t>
  </si>
  <si>
    <t>BEWEGING (AR);EPI (AR);HMSN (AR);MR (AR);OMIM (AR);PCS (AR)</t>
  </si>
  <si>
    <t>PNLIP</t>
  </si>
  <si>
    <t>PL|PNLIPD|PTL</t>
  </si>
  <si>
    <t>PNMT</t>
  </si>
  <si>
    <t>PENT|PNMTase</t>
  </si>
  <si>
    <t>PNP</t>
  </si>
  <si>
    <t>NP|PRO1837|PUNP</t>
  </si>
  <si>
    <t>IMMUUN (AR);METAB (AR);MR (AR);OMIM (AR);PCS (AR);SCID (AR)</t>
  </si>
  <si>
    <t>PNPLA1</t>
  </si>
  <si>
    <t>ARCI10|dJ50J22.1</t>
  </si>
  <si>
    <t>PNPLA2</t>
  </si>
  <si>
    <t>1110001C14Rik|ATGL|FP17548|PEDF-R|TTS-2.2|TTS2|iPLA2zeta</t>
  </si>
  <si>
    <t>DERM (AR);HART (AR);METAB (AR);OMIM (AR);PCS (AR);SPIER (AR)</t>
  </si>
  <si>
    <t>PNPLA6</t>
  </si>
  <si>
    <t>BNHS|LNMS|NTE|NTEMND|OMCS|SPG39|iPLA2delta|sws</t>
  </si>
  <si>
    <t>BEWEGING (AR);BLIND (AR);DSD (AR);LENGTE (AR);METAB (AR);MR (AR);OMIM (AR);PCS (AR)</t>
  </si>
  <si>
    <t>PNPLA8</t>
  </si>
  <si>
    <t>IPLA2-2|IPLA2G|MMLA|PNPLA-gamma|iPLA2gamma</t>
  </si>
  <si>
    <t>PNPO</t>
  </si>
  <si>
    <t>HEL-S-302|PDXPO</t>
  </si>
  <si>
    <t>EPI (AR);METAB (AR);OMIM (AR);PCS (AR)</t>
  </si>
  <si>
    <t>PNPT1</t>
  </si>
  <si>
    <t>COXPD13|DFNB70|OLD35|PNPASE|old-35</t>
  </si>
  <si>
    <t>POC1A</t>
  </si>
  <si>
    <t>PIX2|SOFT|WDR51A</t>
  </si>
  <si>
    <t>CILIO (AR);DERM (AR);LENGTE (AR);OMIM (AR);PCS (AR)</t>
  </si>
  <si>
    <t>POC1B</t>
  </si>
  <si>
    <t>CORD20|PIX1|TUWD12|WDR51B</t>
  </si>
  <si>
    <t>POC5</t>
  </si>
  <si>
    <t>C5orf37</t>
  </si>
  <si>
    <t>POF1B</t>
  </si>
  <si>
    <t>POF|POF2B</t>
  </si>
  <si>
    <t>POFUT1</t>
  </si>
  <si>
    <t>DDD2|FUT12|O-FUT|O-Fuc-T|O-FucT-1|OFUCT1</t>
  </si>
  <si>
    <t>POGLUT1</t>
  </si>
  <si>
    <t>C3orf9|CLP46|KDELCL1|KTELC1|LGMD2Z|LGMDR21|MDS010|MDSRP|Rumi|hCLP46</t>
  </si>
  <si>
    <t>DERM (AD);METAB (AD,AR);OMIM (AD,AR);PCS (AR)</t>
  </si>
  <si>
    <t>POGZ</t>
  </si>
  <si>
    <t>MRD37|WHSUS|ZNF280E|ZNF635|ZNF635m</t>
  </si>
  <si>
    <t>POLA1</t>
  </si>
  <si>
    <t>NSX|POLA|VEODS|p180</t>
  </si>
  <si>
    <t>IMMUUN (XLR);MR (XLR);OMIM (XLR)</t>
  </si>
  <si>
    <t>POLD1</t>
  </si>
  <si>
    <t>CDC2|CRCS10|MDPL|POLD</t>
  </si>
  <si>
    <t>DERM (AD);DOOF (AD,AR);OMIM (AD;AD,AR);TUMOR (AD)</t>
  </si>
  <si>
    <t>POLE</t>
  </si>
  <si>
    <t>CRCS12|FILS|IMAGEI|POLE1</t>
  </si>
  <si>
    <t>DSD (AR);LENGTE (AR);MELANOOM (AD);OMIM (AR;AD);PCS (AR);TUMOR (AD)</t>
  </si>
  <si>
    <t>POLE2</t>
  </si>
  <si>
    <t>DPE2</t>
  </si>
  <si>
    <t>POLG</t>
  </si>
  <si>
    <t>MDP1|MIRAS|MTDPS4A|MTDPS4B|PEO|POLG1|POLGA|SANDO|SCAE</t>
  </si>
  <si>
    <t>BEWEGING (AR);DSD (AD);EPI (AR);HH (AD);HMSN (AD,AR);LEVER (AR);MR (AR);OMIM (AD,AR);OXPHOS (AD,AR);PARK (AD);PCS (AR);SPIER (AD)</t>
  </si>
  <si>
    <t>POLG2</t>
  </si>
  <si>
    <t>HP55|MTDPS16|MTPOLB|PEOA4|POLB|POLG-BETA|POLGB</t>
  </si>
  <si>
    <t>HMSN (AD);OMIM (AD,AR);OXPHOS (AD,AR);SPIER (AD)</t>
  </si>
  <si>
    <t>POLH</t>
  </si>
  <si>
    <t>RAD30|RAD30A|XP-V|XPV</t>
  </si>
  <si>
    <t>DERM (AR);MELANOOM (AR);OMIM (AR);PCS (AR);TUMOR (AR)</t>
  </si>
  <si>
    <t>POLL</t>
  </si>
  <si>
    <t>BETAN|POLKAPPA</t>
  </si>
  <si>
    <t>POLR1A</t>
  </si>
  <si>
    <t>A190|AFDCIN|RPA1|RPA190|RPA194|RPO1-4|RPO14</t>
  </si>
  <si>
    <t>POLR1C</t>
  </si>
  <si>
    <t>AC40|HLD11|RPA39|RPA40|RPA5|RPAC1|RPC40|TCS3</t>
  </si>
  <si>
    <t>BEWEGING (AR);CFA (AR);DERM (AR);DOOF (AR);LENGTE (AR);MR (AR);OMIM (AR);PCS (AR);SCHISIS (AR)</t>
  </si>
  <si>
    <t>POLR1D</t>
  </si>
  <si>
    <t>AC19|POLR1C|RPA16|RPA9|RPAC2|RPC16|RPO1-3|TCS2</t>
  </si>
  <si>
    <t>CFA (AD);DERM (AD);DOOF (AD,AR);LENGTE (AD,AR);OMIM (AR;AD,AR);PCS (AR);SCHISIS (AD,AR)</t>
  </si>
  <si>
    <t>POLR2A</t>
  </si>
  <si>
    <t>NEDHIB|POLR2|POLRA|RPB1|RPBh1|RPO2|RPOL2|RpIILS|hRPB220|hsRPB1</t>
  </si>
  <si>
    <t>MR (AD);OMIM (AD);OXPHOS (AD)</t>
  </si>
  <si>
    <t>POLR3A</t>
  </si>
  <si>
    <t>ADDH|C160|HLD7|RPC1|RPC155|WDRTS|hRPC155</t>
  </si>
  <si>
    <t>BEWEGING (AR);DERM (AR);LENGTE (AR);METAB (AR);MR (AR);OMIM (AR);PCS (AR)</t>
  </si>
  <si>
    <t>POLR3B</t>
  </si>
  <si>
    <t>C128|HLD8|INMAP|RPC2</t>
  </si>
  <si>
    <t>BEWEGING (AR);DERM (AR);HMSN (AR);LENGTE (AR);METAB (AR);MR (AR);OMIM (AR);PCS (AR)</t>
  </si>
  <si>
    <t>POLRMT</t>
  </si>
  <si>
    <t>APOLMT|MTRNAP|MTRPOL|h-mtRPOL</t>
  </si>
  <si>
    <t>OMIM (AD,AR);OXPHOS (AD,AR)</t>
  </si>
  <si>
    <t>POMC</t>
  </si>
  <si>
    <t>ACTH|CLIP|LPH|MSH|NPP|OBAIRH|POC</t>
  </si>
  <si>
    <t>DERM (AR);DSD (AR);LEVER (AR);OMIM (AR);PCS (AR)</t>
  </si>
  <si>
    <t>POMGNT1</t>
  </si>
  <si>
    <t>GNTI.2|GnT I.2|LGMD2O|LGMDR15|MEB|MGAT1.2|RP76|gnT-I.2</t>
  </si>
  <si>
    <t>BLIND (AR);METAB (AR);MR (AR);OMIM (AR);PCS (AR);SPIER (AR)</t>
  </si>
  <si>
    <t>POMGNT2</t>
  </si>
  <si>
    <t>AGO61|C3orf39|GTDC2|MDDGA8|MDDGC8</t>
  </si>
  <si>
    <t>POMK</t>
  </si>
  <si>
    <t>MDDGA12|MDDGC12|SGK196</t>
  </si>
  <si>
    <t>POMP</t>
  </si>
  <si>
    <t>C13orf12|HSPC014|PNAS-110|PRAAS2|UMP1</t>
  </si>
  <si>
    <t>DERM (AR);IMMUUN (AD,AR);OMIM (AR;AD,AR);PCS (AR)</t>
  </si>
  <si>
    <t>POMT1</t>
  </si>
  <si>
    <t>LGMD2K|LGMDR11|MDDGA1|MDDGB1|MDDGC1|RT</t>
  </si>
  <si>
    <t>HART (AR);METAB (AR);MR (AR);OMIM (AR);PCS (AR);SCHISIS (AR);SPIER (AR)</t>
  </si>
  <si>
    <t>POMT2</t>
  </si>
  <si>
    <t>LGMD2N|LGMDR14|MDDGA2|MDDGB2|MDDGC2</t>
  </si>
  <si>
    <t>POP1</t>
  </si>
  <si>
    <t>ANXD2</t>
  </si>
  <si>
    <t>POR</t>
  </si>
  <si>
    <t>CPR|CYPOR|P450R</t>
  </si>
  <si>
    <t>CFA (AR);DSD (AR);LENGTE (AR);OMIM (AR);PCS (AR)</t>
  </si>
  <si>
    <t>PORCN</t>
  </si>
  <si>
    <t>DHOF|FODH|MG61|PORC|PPN</t>
  </si>
  <si>
    <t>CFA (XL);DERM (XL);MR (XL);OMIM (XL);SCHISIS (XL)</t>
  </si>
  <si>
    <t>POT1</t>
  </si>
  <si>
    <t>CMM10|GLM9|HPOT1</t>
  </si>
  <si>
    <t>BMF (AD);DERM (AD);DKC (AD);IMMUUN (AD);MELANOOM (AD);OMIM (AD);TUMOR (AD)</t>
  </si>
  <si>
    <t>POU1F1</t>
  </si>
  <si>
    <t>CPHD1|GHF-1|PIT1|POU1F1a|Pit-1</t>
  </si>
  <si>
    <t>POU2AF1</t>
  </si>
  <si>
    <t>BOB1|OBF-1|OBF1|OCAB</t>
  </si>
  <si>
    <t>ANEURYSM (AD);IMMUUN (AR);OMIM (AD;AR)</t>
  </si>
  <si>
    <t>POU3F3</t>
  </si>
  <si>
    <t>BRN1|OTF8|SNIBFIS|brain-1|oct-8</t>
  </si>
  <si>
    <t>POU3F4</t>
  </si>
  <si>
    <t>BRAIN-4|BRN-4|BRN4|DFN3|DFNX2|OCT-9|OTF-9|OTF9</t>
  </si>
  <si>
    <t>DOOF (XL);OMIM (XLR)</t>
  </si>
  <si>
    <t>POU4F3</t>
  </si>
  <si>
    <t>BRN3C|DFNA15|DFNA42|DFNA52</t>
  </si>
  <si>
    <t>POU6F2</t>
  </si>
  <si>
    <t>RPF-1|WT5|WTSL</t>
  </si>
  <si>
    <t>PPA2</t>
  </si>
  <si>
    <t>HSPC124|SCFAI|SCFI|SID6-306</t>
  </si>
  <si>
    <t>PPARG</t>
  </si>
  <si>
    <t>CIMT1|GLM1|NR1C3|PPARG1|PPARG2|PPARG5|PPARgamma</t>
  </si>
  <si>
    <t>PPARGC1A</t>
  </si>
  <si>
    <t>LEM6|PGC-1(alpha)|PGC-1alpha|PGC-1v|PGC1|PGC1A|PPARGC1</t>
  </si>
  <si>
    <t>PPCS</t>
  </si>
  <si>
    <t>CMD2C</t>
  </si>
  <si>
    <t>HART (AR);METAB (AR);OMIM (AR);OXPHOS (AR);PCS (AR)</t>
  </si>
  <si>
    <t>PPIB</t>
  </si>
  <si>
    <t>B|CYP-S1|CYPB|HEL-S-39|OI9|SCYLP</t>
  </si>
  <si>
    <t>PPIP5K2</t>
  </si>
  <si>
    <t>CFAP160|DFNB100|HISPPD1|IP7K2|VIP2</t>
  </si>
  <si>
    <t>PPM1D</t>
  </si>
  <si>
    <t>IDDGIP|JDVS|PP2C-DELTA|WIP1</t>
  </si>
  <si>
    <t>LENGTE (AD);MR (AD);OMIM (AD);TUMOR (AD)</t>
  </si>
  <si>
    <t>PPM1K</t>
  </si>
  <si>
    <t>BDP|MSUDMV|PP2Ckappa|PP2Cm|PTMP|UG0882E07</t>
  </si>
  <si>
    <t>PPOX</t>
  </si>
  <si>
    <t>PPO|V290M|VP</t>
  </si>
  <si>
    <t>DERM (AD,AR);METAB (AR);OMIM (AD,AR)</t>
  </si>
  <si>
    <t>PPP1CB</t>
  </si>
  <si>
    <t>HEL-S-80p|MP|NSLH2|PP-1B|PP1B|PP1beta|PP1c|PPP1CD|PPP1beta</t>
  </si>
  <si>
    <t>LENGTE (AD);MR (AD);OMIM (AD);RAS (AD)</t>
  </si>
  <si>
    <t>PPP1R12A</t>
  </si>
  <si>
    <t>GUBS|M130|MBS|MYPT1</t>
  </si>
  <si>
    <t>PPP1R12A-AS1</t>
  </si>
  <si>
    <t>R12A-AS1</t>
  </si>
  <si>
    <t>PPP1R15B</t>
  </si>
  <si>
    <t>CREP|MSSGM2</t>
  </si>
  <si>
    <t>PPP1R21</t>
  </si>
  <si>
    <t>CCDC128|KLRAQ1</t>
  </si>
  <si>
    <t>PPP1R3A</t>
  </si>
  <si>
    <t>GM|PP1G|PPP1R3</t>
  </si>
  <si>
    <t>PPP2CA</t>
  </si>
  <si>
    <t>NEDLBA|PP2Ac|PP2CA|PP2Calpha|RP-C</t>
  </si>
  <si>
    <t>PPP2R1A</t>
  </si>
  <si>
    <t>MRD36|PP2A-Aalpha|PP2AA|PP2AAALPHA|PR65A</t>
  </si>
  <si>
    <t>PPP2R1B</t>
  </si>
  <si>
    <t>PP2A-Abeta|PR65B</t>
  </si>
  <si>
    <t>PPP2R2B</t>
  </si>
  <si>
    <t>B55BETA|PP2AB55BETA|PP2ABBETA|PP2APR55B|PP2APR55BETA|PR2AB55BETA|PR2ABBETA|PR2APR55BETA|PR52B|PR55-BETA|PR55BETA|SCA12</t>
  </si>
  <si>
    <t>PPP2R3C</t>
  </si>
  <si>
    <t>C14orf10|G4-1|G5pr|GDRM|SPGF36</t>
  </si>
  <si>
    <t>PPP2R5B</t>
  </si>
  <si>
    <t>B56B|B56beta|PR61B</t>
  </si>
  <si>
    <t>PPP2R5C</t>
  </si>
  <si>
    <t>B56G|B56gamma|PR61G</t>
  </si>
  <si>
    <t>PPP2R5D</t>
  </si>
  <si>
    <t>B56D|B56delta|MRD35</t>
  </si>
  <si>
    <t>PPP3CA</t>
  </si>
  <si>
    <t>ACCIID|CALN|CALNA|CALNA1|CCN1|CNA1|DEE91|IECEE|IECEE1|PPP2B</t>
  </si>
  <si>
    <t>PPT1</t>
  </si>
  <si>
    <t>CLN1|INCL|PPT</t>
  </si>
  <si>
    <t>PQBP1</t>
  </si>
  <si>
    <t>MRX2|MRX55|MRXS3|MRXS8|NPW38|RENS1|SHS</t>
  </si>
  <si>
    <t>DERM (XL);EPI (XL);MR (XL);OMIM (XLR);SCHISIS (XLR)</t>
  </si>
  <si>
    <t>PRCC</t>
  </si>
  <si>
    <t>RCCP1|TPRC</t>
  </si>
  <si>
    <t>PRCD</t>
  </si>
  <si>
    <t>RP36</t>
  </si>
  <si>
    <t>PRDM12</t>
  </si>
  <si>
    <t>HSAN8|PFM9</t>
  </si>
  <si>
    <t>PRDM13</t>
  </si>
  <si>
    <t>MU-MB-20.220|PFM10</t>
  </si>
  <si>
    <t>PRDM16</t>
  </si>
  <si>
    <t>CMD1LL|KMT8F|LVNC8|MEL1|PFM13</t>
  </si>
  <si>
    <t>PRDM5</t>
  </si>
  <si>
    <t>BCS2|PFM2</t>
  </si>
  <si>
    <t>PRDM6</t>
  </si>
  <si>
    <t>KMT8C|PDA3|PRISM</t>
  </si>
  <si>
    <t>PRDM8</t>
  </si>
  <si>
    <t>EPM10|KMT8D|PFM5</t>
  </si>
  <si>
    <t>PRDX1</t>
  </si>
  <si>
    <t>MSP23|NKEF-A|NKEFA|PAG|PAGA|PAGB|PRX1|PRXI|TDPX2</t>
  </si>
  <si>
    <t>PREPL</t>
  </si>
  <si>
    <t>CMS22</t>
  </si>
  <si>
    <t>PRF1</t>
  </si>
  <si>
    <t>HPLH2|P1|PFP</t>
  </si>
  <si>
    <t>BEWEGING (AR);BMF (AR);EPI (AR);IMMUUN (AR);OMIM (AR);PCS (AR);TUMOR (AR)</t>
  </si>
  <si>
    <t>PRG4</t>
  </si>
  <si>
    <t>CACP|HAPO|JCAP|MSF|SZP</t>
  </si>
  <si>
    <t>PRICKLE1</t>
  </si>
  <si>
    <t>EPM1B|RILP</t>
  </si>
  <si>
    <t>PRIMPOL</t>
  </si>
  <si>
    <t>CCDC111|MYP22|Primpol1</t>
  </si>
  <si>
    <t>PRKAA1</t>
  </si>
  <si>
    <t>AMPK|AMPKa1</t>
  </si>
  <si>
    <t>PRKACA</t>
  </si>
  <si>
    <t>CAFD1|PKACA|PPNAD4</t>
  </si>
  <si>
    <t>PRKACG</t>
  </si>
  <si>
    <t>BDPLT19|KAPG|PKACg</t>
  </si>
  <si>
    <t>PRKAG2</t>
  </si>
  <si>
    <t>AAKG|AAKG2|CMH6|H91620p|WPWS</t>
  </si>
  <si>
    <t>HART (AD);METAB (AR);OMIM (AD;AR)</t>
  </si>
  <si>
    <t>PRKAR1A</t>
  </si>
  <si>
    <t>ACRDYS1|ADOHR|CAR|CNC|CNC1|PKR1|PPNAD1|PRKAR1|TSE1</t>
  </si>
  <si>
    <t>DERM (AD);LENGTE (AD);MR (AD);OMIM (AD);TUMOR (AD)</t>
  </si>
  <si>
    <t>PRKCA</t>
  </si>
  <si>
    <t>AAG6|PKC-alpha|PKCA|PKCI+/-|PKCalpha|PRKACA</t>
  </si>
  <si>
    <t>PRKCB</t>
  </si>
  <si>
    <t>PKC-beta|PKCB|PKCI(2)|PKCbeta|PRKCB1|PRKCB2</t>
  </si>
  <si>
    <t>PRKCD</t>
  </si>
  <si>
    <t>ALPS3|CVID9|MAY1|PKCD|nPKC-delta</t>
  </si>
  <si>
    <t>PRKCG</t>
  </si>
  <si>
    <t>PKC-gamma|PKCC|PKCG|PKCI(3)|PKCgamma|SCA14</t>
  </si>
  <si>
    <t>PRKCSH</t>
  </si>
  <si>
    <t>AGE-R2|G19P1|GIIB|PCLD|PCLD1|PKCSH|PLD1|VASAP-60</t>
  </si>
  <si>
    <t>LEVER (AD);METAB (AD);OMIM (AD)</t>
  </si>
  <si>
    <t>PRKD1</t>
  </si>
  <si>
    <t>CHDED|PKC-MU|PKCM|PKD|PRKCM</t>
  </si>
  <si>
    <t>PRKDC</t>
  </si>
  <si>
    <t>DNA-PKC|DNA-PKcs|DNAPK|DNAPKc|DNPK1|HYRC|HYRC1|IMD26|XRCC7|p350</t>
  </si>
  <si>
    <t>PRKG1</t>
  </si>
  <si>
    <t>AAT8|PKG|PKG1|PRKG1B|PRKGR1B|cGK|cGK 1|cGK1|cGKI|cGKI-BETA|cGKI-alpha</t>
  </si>
  <si>
    <t>PRKG2</t>
  </si>
  <si>
    <t>PKG2|PRKGR2|cGK2|cGKII</t>
  </si>
  <si>
    <t>PRKN</t>
  </si>
  <si>
    <t>AR-JP|LPRS2|PARK2|PDJ</t>
  </si>
  <si>
    <t>OMIM (AR;AD);PARK (AR);PCS (AR);TUMOR (AD)</t>
  </si>
  <si>
    <t>PRKRA</t>
  </si>
  <si>
    <t>DYT16|HSD14|PACT|RAX</t>
  </si>
  <si>
    <t>BEWEGING (AD);OMIM (AD;AR);PARK (AR);PCS (AR)</t>
  </si>
  <si>
    <t>PRLR</t>
  </si>
  <si>
    <t>HPRL|MFAB|RI-PRLR|hPRLrI</t>
  </si>
  <si>
    <t>PRMT7</t>
  </si>
  <si>
    <t>SBIDDS</t>
  </si>
  <si>
    <t>PRNP</t>
  </si>
  <si>
    <t>ASCR|AltPrP|CD230|CJD|GSS|KURU|PRIP|PrP|PrP27-30|PrP33-35C|PrPc|p27-30</t>
  </si>
  <si>
    <t>PROC</t>
  </si>
  <si>
    <t>APC|PC|PROC1|THPH3|THPH4</t>
  </si>
  <si>
    <t>PRODH</t>
  </si>
  <si>
    <t>HSPOX2|PIG6|POX|PRODH1|PRODH2|TP53I6</t>
  </si>
  <si>
    <t>PROK2</t>
  </si>
  <si>
    <t>BV8|HH4|KAL4|MIT1|PK2</t>
  </si>
  <si>
    <t>DSD (AR);HH (AR);OMIM (AR;AD)</t>
  </si>
  <si>
    <t>PROKR2</t>
  </si>
  <si>
    <t>GPR73L1|GPR73b|GPRg2|HH3|KAL3|PKR2|dJ680N4.3</t>
  </si>
  <si>
    <t>DSD (AR);HH (AR);LENGTE (AD,AR);OMIM (AD;AR;AD,AR);SCHISIS (AD)</t>
  </si>
  <si>
    <t>PROM1</t>
  </si>
  <si>
    <t>AC133|CD133|CORD12|MCDR2|MSTP061|PROML1|RP41|STGD4</t>
  </si>
  <si>
    <t>PROP1</t>
  </si>
  <si>
    <t>CPHD2|PROP-1</t>
  </si>
  <si>
    <t>PRORP</t>
  </si>
  <si>
    <t>KIAA0391|MRPP3</t>
  </si>
  <si>
    <t>PROS1</t>
  </si>
  <si>
    <t>PROS|PS21|PS22|PS23|PS24|PS25|PSA|THPH5|THPH6</t>
  </si>
  <si>
    <t>PROZ</t>
  </si>
  <si>
    <t>PZ</t>
  </si>
  <si>
    <t>PRPF3</t>
  </si>
  <si>
    <t>HPRP3|HPRP3P|PRP3|Prp3p|RP18|SNRNP90</t>
  </si>
  <si>
    <t>PRPF31</t>
  </si>
  <si>
    <t>NY-BR-99|PRP31|RP11|SNRNP61</t>
  </si>
  <si>
    <t>PRPF4</t>
  </si>
  <si>
    <t>HPRP4|HPRP4P|PRP4|Prp4p|RP70|SNRNP60</t>
  </si>
  <si>
    <t>PRPF6</t>
  </si>
  <si>
    <t>ANT-1|ANT1|C20orf14|Prp6|RP60|SNRNP102|TOM|U5-102K|hPrp6</t>
  </si>
  <si>
    <t>PRPF8</t>
  </si>
  <si>
    <t>HPRP8|PRP8|PRPC8|RP13|SNRNP220</t>
  </si>
  <si>
    <t>PRPH2</t>
  </si>
  <si>
    <t>AOFMD|AVMD|CACD2|DS|MDBS1|PRPH|RDS|RP7|TSPAN22|rd2</t>
  </si>
  <si>
    <t>PRPS1</t>
  </si>
  <si>
    <t>ARTS|CMTX5|DFN2|DFNX1|PPRibP|PRS-I|PRSI</t>
  </si>
  <si>
    <t>DOOF (XL);HMSN (XL);IMMUUN (XL);METAB (XL);MR (XL);OMIM (XL;XLR);OXPHOS (XLR);SPIER (XL)</t>
  </si>
  <si>
    <t>PRR12</t>
  </si>
  <si>
    <t>KIAA1205</t>
  </si>
  <si>
    <t>PRRT2</t>
  </si>
  <si>
    <t>BFIC2|BFIS2|DSPB3|DYT10|EKD1|FICCA|ICCA|IFITMD1|PKC</t>
  </si>
  <si>
    <t>PRRX1</t>
  </si>
  <si>
    <t>AGOTC|PHOX1|PMX1|PRX-1|PRX1</t>
  </si>
  <si>
    <t>OMIM (AD,AR);SCHISIS (AD,AR)</t>
  </si>
  <si>
    <t>PRSS1</t>
  </si>
  <si>
    <t>TRP1|TRY1|TRY4|TRYP1</t>
  </si>
  <si>
    <t>PRSS12</t>
  </si>
  <si>
    <t>BSSP-3|BSSP3|MRT1</t>
  </si>
  <si>
    <t>PRSS56</t>
  </si>
  <si>
    <t>MCOP6</t>
  </si>
  <si>
    <t>PRUNE1</t>
  </si>
  <si>
    <t>DRES-17|DRES17|H-PRUNE|HTCD37|NMIHBA|PRUNE</t>
  </si>
  <si>
    <t>PRX</t>
  </si>
  <si>
    <t>CMT4F</t>
  </si>
  <si>
    <t>HMSN (AR);OMIM (AR;AD,AR);PCS (AR)</t>
  </si>
  <si>
    <t>PSAP</t>
  </si>
  <si>
    <t>GLBA|SAP1|SAP2</t>
  </si>
  <si>
    <t>BEWEGING (AR);EPI (AR);HMSN (AR);METAB (AR);MR (AR);OMIM (AR);PCS (AR)</t>
  </si>
  <si>
    <t>PSAT1</t>
  </si>
  <si>
    <t>EPIP|NLS2|PSA|PSAT|PSATD</t>
  </si>
  <si>
    <t>PSEN1</t>
  </si>
  <si>
    <t>ACNINV3|AD3|FAD|PS-1|PS1|S182</t>
  </si>
  <si>
    <t>DERM (AD);OMIM (AD);PARK (AD)</t>
  </si>
  <si>
    <t>PSEN2</t>
  </si>
  <si>
    <t>AD3L|AD4|CMD1V|PS2|STM2</t>
  </si>
  <si>
    <t>PSENEN</t>
  </si>
  <si>
    <t>ACNINV2|MDS033|MSTP064|PEN-2|PEN2</t>
  </si>
  <si>
    <t>PSIP1</t>
  </si>
  <si>
    <t>DFS70|LEDGF|PAIP|PSIP2|p52|p75</t>
  </si>
  <si>
    <t>PSMA3</t>
  </si>
  <si>
    <t>HC8|PSC3</t>
  </si>
  <si>
    <t>PSMB1</t>
  </si>
  <si>
    <t>HC5|PMSB1|PSC5</t>
  </si>
  <si>
    <t>PSMB4</t>
  </si>
  <si>
    <t>HN3|HsN3|PRAAS3|PROS-26|PROS26</t>
  </si>
  <si>
    <t>PSMB8</t>
  </si>
  <si>
    <t>ALDD|D6S216|D6S216E|JMP|LMP7|NKJO|PRAAS1|PSMB5i|RING10</t>
  </si>
  <si>
    <t>PSMB9</t>
  </si>
  <si>
    <t>LMP2|PRAAS3|PSMB6i|RING12|beta1i</t>
  </si>
  <si>
    <t>PSMC3IP</t>
  </si>
  <si>
    <t>GT198|HOP2|HUMGT198A|ODG3|TBPIP</t>
  </si>
  <si>
    <t>PSMD12</t>
  </si>
  <si>
    <t>Rpn5|STISS|p55</t>
  </si>
  <si>
    <t>PSMG2</t>
  </si>
  <si>
    <t>CLAST3|HCCA3|HsT1707|MDS003|PAC2|PRAAS4|TNFSF5IP1</t>
  </si>
  <si>
    <t>PSPH</t>
  </si>
  <si>
    <t>PSP|PSPHD</t>
  </si>
  <si>
    <t>PSTPIP1</t>
  </si>
  <si>
    <t>CD2BP1|CD2BP1L|CD2BP1S|H-PIP|PAPAS|PSTPIP</t>
  </si>
  <si>
    <t>PTCD3</t>
  </si>
  <si>
    <t>COXPD51|MRP-S39</t>
  </si>
  <si>
    <t>PTCH1</t>
  </si>
  <si>
    <t>BCNS|NBCCS|PTC|PTC1|PTCH</t>
  </si>
  <si>
    <t>CFA (AD);DERM (AD);MR (AD);OMIM (AD);SCHISIS (AD);SHHM (AD);TUMOR (AD)</t>
  </si>
  <si>
    <t>PTCH2</t>
  </si>
  <si>
    <t>PTC2</t>
  </si>
  <si>
    <t>DERM (AD);OMIM (AD);SCHISIS (AD);SHHM (AD);TUMOR (AD)</t>
  </si>
  <si>
    <t>PTCHD1</t>
  </si>
  <si>
    <t>AUTSX4</t>
  </si>
  <si>
    <t>PTDSS1</t>
  </si>
  <si>
    <t>LMHD|PSS1|PSSA</t>
  </si>
  <si>
    <t>DERM (AD);LENGTE (AD);MR (AD);OMIM (AD)</t>
  </si>
  <si>
    <t>PTEN</t>
  </si>
  <si>
    <t>10q23del|BZS|CWS1|DEC|GLM2|MHAM|MMAC1|PTEN1|PTENbeta|TEP1</t>
  </si>
  <si>
    <t>BRSTKNK (AD);DERM (AD);MELANOOM (AD);METAB (AR);MR (AD);OMIM (AD;AR);TUMOR (AD)</t>
  </si>
  <si>
    <t>PTF1A</t>
  </si>
  <si>
    <t>PACA|PAGEN2|PTF1-p48|bHLHa29|p48</t>
  </si>
  <si>
    <t>PTGIS</t>
  </si>
  <si>
    <t>CYP8|CYP8A1|PGIS|PTGI</t>
  </si>
  <si>
    <t>PTGS1</t>
  </si>
  <si>
    <t>COX1|COX3|PCOX1|PES-1|PGG/HS|PGHS-1|PGHS1|PHS1|PTGHS</t>
  </si>
  <si>
    <t>PTH</t>
  </si>
  <si>
    <t>FIH1|PTH1</t>
  </si>
  <si>
    <t>PTH1R</t>
  </si>
  <si>
    <t>EKNS|PFE|PTHR|PTHR1</t>
  </si>
  <si>
    <t>CFA (AD);LENGTE (AD,AR);NIER (AD);OMIM (AD;AR;AD,AR);PCS (AR)</t>
  </si>
  <si>
    <t>PTHLH</t>
  </si>
  <si>
    <t>BDE2|HHM|PLP|PTHR|PTHRP</t>
  </si>
  <si>
    <t>PTPN11</t>
  </si>
  <si>
    <t>BPTP3|CFC|JMML|METCDS|NS1|PTP-1D|PTP2C|SH-PTP2|SH-PTP3|SHP2</t>
  </si>
  <si>
    <t>ANEURYSM (AD);BMF (AD);CHD (AD);DERM (AD);HART (AD);HEMOS (AD);LENGTE (AD);METAB (AR);MR (AD);OMIM (AD;AR);RAS (AD);TUMOR (AD)</t>
  </si>
  <si>
    <t>PTPN12</t>
  </si>
  <si>
    <t>PTP-PEST|PTPG1</t>
  </si>
  <si>
    <t>PTPN14</t>
  </si>
  <si>
    <t>CATLPH|PEZ|PTP36|PTPD2</t>
  </si>
  <si>
    <t>PTPN22</t>
  </si>
  <si>
    <t>LYP|LYP1|LYP2|PEP|PTPN22.5|PTPN22.6|PTPN8</t>
  </si>
  <si>
    <t>PTPN23</t>
  </si>
  <si>
    <t>HD-PTP|HDPTP|NEDBASS|PTP-TD14</t>
  </si>
  <si>
    <t>PTPRC</t>
  </si>
  <si>
    <t>B220|CD45|CD45R|GP180|L-CA|LCA|LY5|T200</t>
  </si>
  <si>
    <t>PTPRF</t>
  </si>
  <si>
    <t>BNAH2|LAR</t>
  </si>
  <si>
    <t>PTPRJ</t>
  </si>
  <si>
    <t>CD148|DEP1|HPTPeta|R-PTP-ETA|SCC1</t>
  </si>
  <si>
    <t>HEMOS (AR);OMIM (AR;UK,AR,AD,XL)</t>
  </si>
  <si>
    <t>PTPRO</t>
  </si>
  <si>
    <t>GLEPP1|NPHS6|PTP-OC|PTP-U2|PTPROT|PTPU2|R-PTP-O</t>
  </si>
  <si>
    <t>PTPRQ</t>
  </si>
  <si>
    <t>DFNA73|DFNB84|DFNB84A|PTPGMC1|R-PTP-Q</t>
  </si>
  <si>
    <t>PTRH2</t>
  </si>
  <si>
    <t>BIT1|CFAP37|CGI-147|IMNEPD|PTH|PTH 2|PTH2</t>
  </si>
  <si>
    <t>AKI (AR);BEWEGING (AR);DOOF (AR);EPI (AR);MR (AR);OMIM (AR);OXPHOS (AR);PCS (AR);SPIER (AR)</t>
  </si>
  <si>
    <t>PTRHD1</t>
  </si>
  <si>
    <t>C2orf79</t>
  </si>
  <si>
    <t>PTS</t>
  </si>
  <si>
    <t>PTPS</t>
  </si>
  <si>
    <t>PUF60</t>
  </si>
  <si>
    <t>FIR|RoBPI|SIAHBP1|VRJS</t>
  </si>
  <si>
    <t>PUM1</t>
  </si>
  <si>
    <t>HSPUM|PUMH|PUMH1|PUML1|SCA47</t>
  </si>
  <si>
    <t>PURA</t>
  </si>
  <si>
    <t>MRD31|PUR-ALPHA|PUR1|PURALPHA</t>
  </si>
  <si>
    <t>PUS1</t>
  </si>
  <si>
    <t>MLASA1</t>
  </si>
  <si>
    <t>IJZER (AR);MR (AR);OMIM (AR);OXPHOS (AR);PCS (AR)</t>
  </si>
  <si>
    <t>PUS3</t>
  </si>
  <si>
    <t>2610020J05Rik|FKSG32|MRT55|NEDMIGS</t>
  </si>
  <si>
    <t>PUS7</t>
  </si>
  <si>
    <t>IDDABS</t>
  </si>
  <si>
    <t>PXDN</t>
  </si>
  <si>
    <t>ASGD7|COPOA|D2S448|D2S448E|MG50|PRG2|PXN|VPO</t>
  </si>
  <si>
    <t>PYCR1</t>
  </si>
  <si>
    <t>ARCL2B|ARCL3B|P5C|P5CR|PIG45|PP222|PRO3|PYCR</t>
  </si>
  <si>
    <t>DERM (AR);LENGTE (AR);METAB (AR);MR (AR);OMIM (AR);OXPHOS (AR);PCS (AR)</t>
  </si>
  <si>
    <t>PYCR2</t>
  </si>
  <si>
    <t>HLD10|P5CR2</t>
  </si>
  <si>
    <t>PYGL</t>
  </si>
  <si>
    <t>GSD6</t>
  </si>
  <si>
    <t>PYGM</t>
  </si>
  <si>
    <t>GSD5</t>
  </si>
  <si>
    <t>PYROXD1</t>
  </si>
  <si>
    <t>MFM8</t>
  </si>
  <si>
    <t>QARS1</t>
  </si>
  <si>
    <t>GLNRS|MSCCA|PRO2195|QARS</t>
  </si>
  <si>
    <t>QDPR</t>
  </si>
  <si>
    <t>DHPR|HDHPR|PKU2|SDR33C1</t>
  </si>
  <si>
    <t>QRICH1</t>
  </si>
  <si>
    <t>AB-DIP|VERBRAS</t>
  </si>
  <si>
    <t>QRICH2</t>
  </si>
  <si>
    <t>SPGF35</t>
  </si>
  <si>
    <t>QRSL1</t>
  </si>
  <si>
    <t>COXPD40|GatA</t>
  </si>
  <si>
    <t>RAB11B</t>
  </si>
  <si>
    <t>H-YPT3|NDAGSCW</t>
  </si>
  <si>
    <t>RAB18</t>
  </si>
  <si>
    <t>RAB18LI1|WARBM3</t>
  </si>
  <si>
    <t>RAB23</t>
  </si>
  <si>
    <t>HSPC137</t>
  </si>
  <si>
    <t>CFA (AR);DERM (AR);LENGTE (AR);MR (AR);OMIM (AR);PCS (AR)</t>
  </si>
  <si>
    <t>RAB27A</t>
  </si>
  <si>
    <t>GS2|HsT18676|RAB27|RAM</t>
  </si>
  <si>
    <t>DERM (AR);HEMOS (AR);IMMUUN (AR);MR (AR);OMIM (AR);PCS (AR)</t>
  </si>
  <si>
    <t>RAB28</t>
  </si>
  <si>
    <t>CORD18</t>
  </si>
  <si>
    <t>RAB33B</t>
  </si>
  <si>
    <t>SMC2</t>
  </si>
  <si>
    <t>RAB39B</t>
  </si>
  <si>
    <t>BGMR|MRX72|WSMN|WSN</t>
  </si>
  <si>
    <t>RAB3GAP1</t>
  </si>
  <si>
    <t>P130|RAB3GAP|RAB3GAP130|WARBM1</t>
  </si>
  <si>
    <t>RAB3GAP2</t>
  </si>
  <si>
    <t>RAB3-GAP150|RAB3GAP150|SPG69|WARBM2|p150</t>
  </si>
  <si>
    <t>RAB7A</t>
  </si>
  <si>
    <t>CMT2B|PRO2706|RAB7</t>
  </si>
  <si>
    <t>RAC1</t>
  </si>
  <si>
    <t>MIG5|MRD48|Rac-1|TC-25|p21-Rac1</t>
  </si>
  <si>
    <t>RAC2</t>
  </si>
  <si>
    <t>EN-7|Gx|HSPC022|IMD73A|IMD73B|IMD73C|p21-Rac2</t>
  </si>
  <si>
    <t>IMMUUN (AD,AR);OMIM (AD;AD,AR;UK,AR,AD,XL);SCID (AD)</t>
  </si>
  <si>
    <t>RAC3</t>
  </si>
  <si>
    <t>RAD21</t>
  </si>
  <si>
    <t>CDLS4|HR21|HRAD21|MCD1|MGS|NXP1|SCC1|hHR21</t>
  </si>
  <si>
    <t>CFA (AD);DERM (AD);LENGTE (AD);LEVER (AR);MR (AD);NIER (AR);OMIM (AD,AR)</t>
  </si>
  <si>
    <t>RAD50</t>
  </si>
  <si>
    <t>NBSLD|RAD502|hRad50</t>
  </si>
  <si>
    <t>BRSTKNK (AR);DERM (AR);OMIM (AR;UK,AR,AD,XL);PCS (AR);TUMOR (AR)</t>
  </si>
  <si>
    <t>RAD51</t>
  </si>
  <si>
    <t>BRCC5|FANCR|HRAD51|HsRad51|HsT16930|MRMV2|RAD51A|RECA</t>
  </si>
  <si>
    <t>BEWEGING (AD);BMF (AD);OMIM (AD)</t>
  </si>
  <si>
    <t>RAD51B</t>
  </si>
  <si>
    <t>R51H2|RAD51L1|REC2</t>
  </si>
  <si>
    <t>RAD51C</t>
  </si>
  <si>
    <t>BROVCA3|FANCO|R51H3|RAD51L2</t>
  </si>
  <si>
    <t>BMF (AD,AR);BRSTKNK (AD,AR);OMIM (AR;AD,AR);PCS (AR);TUMOR (AD,AR)</t>
  </si>
  <si>
    <t>RAD51D</t>
  </si>
  <si>
    <t>BROVCA4|R51H3|RAD51L3|TRAD</t>
  </si>
  <si>
    <t>RAD54B</t>
  </si>
  <si>
    <t>RDH54</t>
  </si>
  <si>
    <t>RAD54L</t>
  </si>
  <si>
    <t>HR54|RAD54A|hHR54|hRAD54</t>
  </si>
  <si>
    <t>RAF1</t>
  </si>
  <si>
    <t>CMD1NN|CRAF|NS5|Raf-1|c-Raf</t>
  </si>
  <si>
    <t>ANEURYSM (AD);CHD (AD);DERM (AD);HART (AD);HEMOS (AD);LENGTE (AD);MR (AD);OMIM (AD);RAS (AD);TUMOR (AD)</t>
  </si>
  <si>
    <t>RAG1</t>
  </si>
  <si>
    <t>RAG-1|RNF74</t>
  </si>
  <si>
    <t>RAG2</t>
  </si>
  <si>
    <t>RAG-2</t>
  </si>
  <si>
    <t>RAI1</t>
  </si>
  <si>
    <t>SMCR|SMS</t>
  </si>
  <si>
    <t>DERM (AD);DOOF (AD);MR (AD);OMIM (AD;UK,AR,AD,XL)</t>
  </si>
  <si>
    <t>RALA</t>
  </si>
  <si>
    <t>RAL</t>
  </si>
  <si>
    <t>RALGAPA1</t>
  </si>
  <si>
    <t>GARNL1|GRIPE|NEDHRIT|RalGAPalpha1|TULIP1|p240</t>
  </si>
  <si>
    <t>RANBP2</t>
  </si>
  <si>
    <t>ADANE|ANE1|IIAE3|NUP358|TRP1|TRP2</t>
  </si>
  <si>
    <t>RANGRF</t>
  </si>
  <si>
    <t>HSPC165|HSPC236|MOG1|RANGNRF</t>
  </si>
  <si>
    <t>RAP1GDS1</t>
  </si>
  <si>
    <t>GDS1|SmgGDS</t>
  </si>
  <si>
    <t>RAPGEF2</t>
  </si>
  <si>
    <t>CNrasGEF|NRAPGEP|PDZ-GEF1|PDZGEF1|RA-GEF|RA-GEF-1|RAGEF|Rap-GEP|nRap GEP</t>
  </si>
  <si>
    <t>RAPSN</t>
  </si>
  <si>
    <t>CMS11|CMS4C|FADS|FADS2|RAPSYN|RNF205</t>
  </si>
  <si>
    <t>RARB</t>
  </si>
  <si>
    <t>HAP|MCOPS12|NR1B2|RARbeta1|RRB2</t>
  </si>
  <si>
    <t>BLIND (AD);MR (AD);OMIM (AD,AR);PCS (AR)</t>
  </si>
  <si>
    <t>RARS1</t>
  </si>
  <si>
    <t>ArgRS|DALRD1|HLD9|RARS</t>
  </si>
  <si>
    <t>RARS2</t>
  </si>
  <si>
    <t>ArgRS|DALRD2|PCH6|PRO1992|RARSL</t>
  </si>
  <si>
    <t>RASA1</t>
  </si>
  <si>
    <t>CM-AVM|CMAVM|CMAVM1|GAP|PKWS|RASA|RASGAP|p120|p120GAP|p120RASGAP</t>
  </si>
  <si>
    <t>RASEF</t>
  </si>
  <si>
    <t>RAB45</t>
  </si>
  <si>
    <t>RASGRP1</t>
  </si>
  <si>
    <t>CALDAG-GEFI|CALDAG-GEFII|IMD64|RASGRP</t>
  </si>
  <si>
    <t>RASGRP2</t>
  </si>
  <si>
    <t>CALDAG-GEFI|CDC25L</t>
  </si>
  <si>
    <t>RAX</t>
  </si>
  <si>
    <t>MCOP3|RX</t>
  </si>
  <si>
    <t>RAX2</t>
  </si>
  <si>
    <t>ARMD6|CORD11|QRX|RAXL1</t>
  </si>
  <si>
    <t>BLIND (AR);OMIM (AR;AD)</t>
  </si>
  <si>
    <t>RB1</t>
  </si>
  <si>
    <t>OSRC|PPP1R130|RB|p105-Rb|p110-RB1|pRb|pp110</t>
  </si>
  <si>
    <t>RB1CC1</t>
  </si>
  <si>
    <t>ATG17|CC1|FIP200|PPP1R131</t>
  </si>
  <si>
    <t>RBBP6</t>
  </si>
  <si>
    <t>MY038|P2P-R|PACT|RBQ-1|SNAMA</t>
  </si>
  <si>
    <t>RBBP8</t>
  </si>
  <si>
    <t>COM1|CTIP|JWDS|RIM|SAE2|SCKL2</t>
  </si>
  <si>
    <t>ANEURYSM (AR);DERM (AR);LENGTE (AR);MR (AR);OMIM (AR);PCS (AR)</t>
  </si>
  <si>
    <t>RBCK1</t>
  </si>
  <si>
    <t>C20orf18|HOIL-1|HOIL1|PBMEI|PGBM1|RBCK2|RNF54|UBCE7IP3|XAP3|XAP4|ZRANB4</t>
  </si>
  <si>
    <t>IMMUUN (AR);METAB (AR);OMIM (AR);PCS (AR);SPIER (AR)</t>
  </si>
  <si>
    <t>RBFOX1</t>
  </si>
  <si>
    <t>2BP1|A2BP1|FOX-1|FOX1|HRNBP1</t>
  </si>
  <si>
    <t>RBM10</t>
  </si>
  <si>
    <t>DXS8237E|GPATC9|GPATCH9|S1-1|TARPS|ZRANB5</t>
  </si>
  <si>
    <t>CFA (XL);MR (XL);OMIM (XLR);SCHISIS (XLR)</t>
  </si>
  <si>
    <t>RBM20</t>
  </si>
  <si>
    <t>RBM28</t>
  </si>
  <si>
    <t>ANES</t>
  </si>
  <si>
    <t>RBM8A</t>
  </si>
  <si>
    <t>BOV-1A|BOV-1B|BOV-1C|C1DELq21.1|DEL1q21.1|MDS014|RBM8|RBM8B|TAR|Y14|ZNRP|ZRNP1</t>
  </si>
  <si>
    <t>BMF (AR);HEMOS (AR);LENGTE (AR);OMIM (AR);PCS (AR)</t>
  </si>
  <si>
    <t>RBMX</t>
  </si>
  <si>
    <t>HNRNPG|HNRPG|MRXS11|RBMXP1|RBMXRT|RNMX|hnRNP-G</t>
  </si>
  <si>
    <t>RBP3</t>
  </si>
  <si>
    <t>D10S64|D10S65|D10S66|IRBP|RBPI|RP66</t>
  </si>
  <si>
    <t>RBP4</t>
  </si>
  <si>
    <t>MCOPCB10|RDCCAS</t>
  </si>
  <si>
    <t>BLIND (AD,AR);DERM (AR);OMIM (AD,AR);PCS (AR)</t>
  </si>
  <si>
    <t>RBPJ</t>
  </si>
  <si>
    <t>AOS3|CBF-1|CBF1|IGKJRB|IGKJRB1|KBF2|RBP-J|RBP-J kappa|RBP-JK|RBPJK|RBPSUH|SUH|csl</t>
  </si>
  <si>
    <t>RC3H1</t>
  </si>
  <si>
    <t>FHL6|IMDSHY|RNF198|ROQUIN</t>
  </si>
  <si>
    <t>RCBTB1</t>
  </si>
  <si>
    <t>CLLD7|CLLL7|GLP|RDEOA</t>
  </si>
  <si>
    <t>RD3</t>
  </si>
  <si>
    <t>C1orf36|LCA12</t>
  </si>
  <si>
    <t>RDH11</t>
  </si>
  <si>
    <t>ARSDR1|CGI82|HCBP12|MDT1|PSDR1|RALR1|RDJCSS|SCALD|SDR7C1</t>
  </si>
  <si>
    <t>RDH12</t>
  </si>
  <si>
    <t>LCA13|RP53|SDR7C2</t>
  </si>
  <si>
    <t>BLIND (AR);METAB (AR);OMIM (AR;AD,AR);PCS (AR)</t>
  </si>
  <si>
    <t>RDH5</t>
  </si>
  <si>
    <t>9cRDH|HSD17B9|RDH1|SDR9C5</t>
  </si>
  <si>
    <t>BLIND (AD);METAB (AR);OMIM (AR;AD,AR);PCS (AR)</t>
  </si>
  <si>
    <t>RDX</t>
  </si>
  <si>
    <t>DFNB24</t>
  </si>
  <si>
    <t>RECQL4</t>
  </si>
  <si>
    <t>RECQ4</t>
  </si>
  <si>
    <t>CFA (AR);DERM (AR);IMMUUN (AR);LENGTE (AR);MR (AR);OMIM (AR);PCS (AR);TUMOR (AR)</t>
  </si>
  <si>
    <t>REEP1</t>
  </si>
  <si>
    <t>C2orf23|HMN5B|SPG31|Yip2a</t>
  </si>
  <si>
    <t>REEP2</t>
  </si>
  <si>
    <t>C5orf19|SGC32445|SPG72|Yip2d</t>
  </si>
  <si>
    <t>REEP6</t>
  </si>
  <si>
    <t>C19orf32|DP1L1|REEP6.1|REEP6.2|RP77|TB2L1|Yip2f</t>
  </si>
  <si>
    <t>RELA</t>
  </si>
  <si>
    <t>CMCU|NFKB3|p65</t>
  </si>
  <si>
    <t>RELB</t>
  </si>
  <si>
    <t>I-REL|IMD53|IREL|REL-B</t>
  </si>
  <si>
    <t>RELN</t>
  </si>
  <si>
    <t>ETL7|LIS2|PRO1598|RL</t>
  </si>
  <si>
    <t>RELT</t>
  </si>
  <si>
    <t>AI3C|TNFRSF19L|TRLT</t>
  </si>
  <si>
    <t>REN</t>
  </si>
  <si>
    <t>ADTKD4|HNFJ2|RTD</t>
  </si>
  <si>
    <t>REPS1</t>
  </si>
  <si>
    <t>NBIA7|RALBP1</t>
  </si>
  <si>
    <t>RERE</t>
  </si>
  <si>
    <t>ARG|ARP|ATN1L|DNB1|NEDBEH</t>
  </si>
  <si>
    <t>REST</t>
  </si>
  <si>
    <t>DFNA27|GINGF5|HGF5|NRSF|WT6|XBR</t>
  </si>
  <si>
    <t>DOOF (AD);OMIM (AD);TUMOR (AD)</t>
  </si>
  <si>
    <t>RET</t>
  </si>
  <si>
    <t>CDHF12|CDHR16|HSCR1|MEN2A|MEN2B|MTC1|PTC|RET-ELE1</t>
  </si>
  <si>
    <t>RETREG1</t>
  </si>
  <si>
    <t>FAM134B|JK-1|JK1</t>
  </si>
  <si>
    <t>REV3L</t>
  </si>
  <si>
    <t>POLZ|REV3</t>
  </si>
  <si>
    <t>RFC1</t>
  </si>
  <si>
    <t>A1|CANVAS|MHCBFB|PO-GA|RECC1|RFC|RFC140</t>
  </si>
  <si>
    <t>RFT1</t>
  </si>
  <si>
    <t>CDG1N</t>
  </si>
  <si>
    <t>RFWD3</t>
  </si>
  <si>
    <t>FANCW|RNF201</t>
  </si>
  <si>
    <t>RFX3</t>
  </si>
  <si>
    <t>RFX5</t>
  </si>
  <si>
    <t>RFX6</t>
  </si>
  <si>
    <t>MTCHRS|MTFS|RFXDC1|dJ955L16.1</t>
  </si>
  <si>
    <t>RFXANK</t>
  </si>
  <si>
    <t>ANKRA1|BLS|F14150_1|RFX-B</t>
  </si>
  <si>
    <t>RFXAP</t>
  </si>
  <si>
    <t>RGR</t>
  </si>
  <si>
    <t>RP44</t>
  </si>
  <si>
    <t>OMIM (UK,AR,AD,XL);PCS (AR)</t>
  </si>
  <si>
    <t>RGS9</t>
  </si>
  <si>
    <t>PERRS|RGS9L</t>
  </si>
  <si>
    <t>BLIND (AR);OMIM (AR;UK,AR,AD,XL)</t>
  </si>
  <si>
    <t>RGS9BP</t>
  </si>
  <si>
    <t>PERRS|R9AP|RGS9</t>
  </si>
  <si>
    <t>RHAG</t>
  </si>
  <si>
    <t>CD241|OHS|OHST|RH2|RH50A|RHNR|Rh50|Rh50GP|SLC42A1</t>
  </si>
  <si>
    <t>RHBDF2</t>
  </si>
  <si>
    <t>RHBDL5|RHBDL6|TEC|TOC|TOCG|iRhom2</t>
  </si>
  <si>
    <t>RHCE</t>
  </si>
  <si>
    <t>CD240CE|RH|RH30A|RHC|RHCe(152N)|RHE|RHIXB|RHNA|RHPI|Rh4|RhIVb(J)|RhVI|RhVIII</t>
  </si>
  <si>
    <t>RHEB</t>
  </si>
  <si>
    <t>RHEB2</t>
  </si>
  <si>
    <t>RHO</t>
  </si>
  <si>
    <t>CSNBAD1|OPN2|RP4</t>
  </si>
  <si>
    <t>BLIND (AD,AR);OMIM (AR;AD,AR);PCS (AR)</t>
  </si>
  <si>
    <t>RHOA</t>
  </si>
  <si>
    <t>ARH12|ARHA|EDFAOB|RHO12|RHOH12</t>
  </si>
  <si>
    <t>RHOBTB2</t>
  </si>
  <si>
    <t>DBC2|DEE64|EIEE64|p83</t>
  </si>
  <si>
    <t>RHOG</t>
  </si>
  <si>
    <t>ARHG</t>
  </si>
  <si>
    <t>RHOH</t>
  </si>
  <si>
    <t>ARHH|TTF</t>
  </si>
  <si>
    <t>RIC1</t>
  </si>
  <si>
    <t>CATIFA|CIP150|KIAA1432|bA207C16.1</t>
  </si>
  <si>
    <t>RIMS1</t>
  </si>
  <si>
    <t>CORD7|RAB3IP2|RIM|RIM1</t>
  </si>
  <si>
    <t>RIMS2</t>
  </si>
  <si>
    <t>CRSDS|OBOE|RAB3IP3|RIM2</t>
  </si>
  <si>
    <t>RIN2</t>
  </si>
  <si>
    <t>MACS|RASSF4</t>
  </si>
  <si>
    <t>RINT1</t>
  </si>
  <si>
    <t>ILFS3|RINT-1</t>
  </si>
  <si>
    <t>RIPK1</t>
  </si>
  <si>
    <t>AIEFL|IMD57|RIP|RIP-1|RIP1</t>
  </si>
  <si>
    <t>RIPK4</t>
  </si>
  <si>
    <t>ANKK2|ANKRD3|CHANDS|DIK|NKRD3|PKK|PPS2|RIP4</t>
  </si>
  <si>
    <t>AKI (AR);CFA (AR);DERM (AR);DSD (AR);OMIM (AR);PCS (AR);SCHISIS (AR)</t>
  </si>
  <si>
    <t>RIPOR2</t>
  </si>
  <si>
    <t>C6orf32|DFNB104|DIFF40|DIFF48|FAM65B|MYONAP|PL48</t>
  </si>
  <si>
    <t>RIPPLY2</t>
  </si>
  <si>
    <t>C6orf159|SCDO6|dJ237I15.1</t>
  </si>
  <si>
    <t>RIT1</t>
  </si>
  <si>
    <t>NS8|RIBB|RIT|ROC1</t>
  </si>
  <si>
    <t>HART (AD);HEMOS (AD);LENGTE (AD);MR (AD);OMIM (AD);RAS (AD);TUMOR (AD)</t>
  </si>
  <si>
    <t>RLBP1</t>
  </si>
  <si>
    <t>CRALBP</t>
  </si>
  <si>
    <t>RLIM</t>
  </si>
  <si>
    <t>MRX61|NY-REN-43|RNF12|TOKAS</t>
  </si>
  <si>
    <t>RMND1</t>
  </si>
  <si>
    <t>C6orf96|COXPD11|RMD1|bA351K16|bA351K16.3</t>
  </si>
  <si>
    <t>DOOF (AR);MR (AR);NIER (AR);OMIM (AR);OXPHOS (AR);PCS (AR)</t>
  </si>
  <si>
    <t>RMRP</t>
  </si>
  <si>
    <t>CHH|NME1|RMRPR|RRP2</t>
  </si>
  <si>
    <t>DERM (AR);IMMUUN (AR);LENGTE (AR);MR (AR);OMIM (AR);PCS (AR);SCID (AR);TUMOR (AR)</t>
  </si>
  <si>
    <t>RNASEH1</t>
  </si>
  <si>
    <t>H1RNA|PEOB2|RNH1</t>
  </si>
  <si>
    <t>RNASEH2A</t>
  </si>
  <si>
    <t>AGS4|JUNB|RNASEHI|RNHIA|RNHL|THSD8</t>
  </si>
  <si>
    <t>BEWEGING (AR);DERM (AR);EPI (AR);IMMUUN (AR);MR (AR);OMIM (AR);PCS (AR)</t>
  </si>
  <si>
    <t>RNASEH2B</t>
  </si>
  <si>
    <t>AGS2|DLEU8</t>
  </si>
  <si>
    <t>RNASEH2C</t>
  </si>
  <si>
    <t>AGS3|AYP1</t>
  </si>
  <si>
    <t>RNASEL</t>
  </si>
  <si>
    <t>PRCA1|RNS4</t>
  </si>
  <si>
    <t>RNASET2</t>
  </si>
  <si>
    <t>RNASE6PL|bA514O12.3</t>
  </si>
  <si>
    <t>RNF113A</t>
  </si>
  <si>
    <t>Cwc24|RNF113|TTD5|ZNF183</t>
  </si>
  <si>
    <t>RNF125</t>
  </si>
  <si>
    <t>TNORS|TRAC-1|TRAC1</t>
  </si>
  <si>
    <t>RNF13</t>
  </si>
  <si>
    <t>DEE73|EIEE73|RZF</t>
  </si>
  <si>
    <t>RNF139</t>
  </si>
  <si>
    <t>HRCA1|RCA1|TRC8</t>
  </si>
  <si>
    <t>RNF168</t>
  </si>
  <si>
    <t>RIDL|hRNF168</t>
  </si>
  <si>
    <t>RNF170</t>
  </si>
  <si>
    <t>ADSA|SNAX1</t>
  </si>
  <si>
    <t>RNF212</t>
  </si>
  <si>
    <t>ZHP3</t>
  </si>
  <si>
    <t>RNF213</t>
  </si>
  <si>
    <t>ALO17|C17orf27|KIAA1618|MYMY2|MYSTR|NET57</t>
  </si>
  <si>
    <t>RNF216</t>
  </si>
  <si>
    <t>CAHH|TRIAD3|U7I1|UBCE7IP1|ZIN</t>
  </si>
  <si>
    <t>RNF31</t>
  </si>
  <si>
    <t>HOIP|Paul|ZIBRA</t>
  </si>
  <si>
    <t>RNF43</t>
  </si>
  <si>
    <t>RNF124|SSPCS|URCC</t>
  </si>
  <si>
    <t>RNF6</t>
  </si>
  <si>
    <t>RNPC3</t>
  </si>
  <si>
    <t>IGHD5|RBM40|RNP|SNRNP65</t>
  </si>
  <si>
    <t>RNU4ATAC</t>
  </si>
  <si>
    <t>LWS|MOPD1|RFMN|RNU4ATAC1|TALS|U4ATAC</t>
  </si>
  <si>
    <t>DERM (AR);HEMOS (AR);IMMUUN (AR);LENGTE (AR);OMIM (AR)</t>
  </si>
  <si>
    <t>RNU7-1</t>
  </si>
  <si>
    <t>RNU7|U7.1</t>
  </si>
  <si>
    <t>ROBO1</t>
  </si>
  <si>
    <t>DUTT1|SAX3</t>
  </si>
  <si>
    <t>ROBO2</t>
  </si>
  <si>
    <t>SAX3</t>
  </si>
  <si>
    <t>ROBO3</t>
  </si>
  <si>
    <t>HGPPS|HGPPS1|HGPS|RBIG1|RIG1</t>
  </si>
  <si>
    <t>ROBO4</t>
  </si>
  <si>
    <t>AOVD3|ECSM4|MRB</t>
  </si>
  <si>
    <t>ROGDI</t>
  </si>
  <si>
    <t>KTZS</t>
  </si>
  <si>
    <t>DERM (AR);EPI (AR);MR (AR);OMIM (AR);PCS (AR)</t>
  </si>
  <si>
    <t>ROM1</t>
  </si>
  <si>
    <t>ROM|ROSP1|RP7|TSPAN23</t>
  </si>
  <si>
    <t>BLIND (AR);OMIM (AD,AR)</t>
  </si>
  <si>
    <t>ROR1</t>
  </si>
  <si>
    <t>NTRKR1|dJ537F10.1</t>
  </si>
  <si>
    <t>ROR2</t>
  </si>
  <si>
    <t>BDB|BDB1|NTRKR2</t>
  </si>
  <si>
    <t>DSD (AR);LENGTE (AD,AR);MR (AR);OMIM (AR;AD,AR);PCS (AR);SCHISIS (AR)</t>
  </si>
  <si>
    <t>RORA</t>
  </si>
  <si>
    <t>IDDECA|NR1F1|ROR1|ROR2|ROR3|RZR-ALPHA|RZRA</t>
  </si>
  <si>
    <t>RORC</t>
  </si>
  <si>
    <t>IMD42|NR1F3|RORG|RZR-GAMMA|RZRG|TOR</t>
  </si>
  <si>
    <t>RP1</t>
  </si>
  <si>
    <t>DCDC4A|ORP1</t>
  </si>
  <si>
    <t>RP1L1</t>
  </si>
  <si>
    <t>DCDC4B|OCMD|RP88</t>
  </si>
  <si>
    <t>RP2</t>
  </si>
  <si>
    <t>DELXp11.3|NM23-H10|NME10|TBCCD2|XRP2</t>
  </si>
  <si>
    <t>RP9</t>
  </si>
  <si>
    <t>PAP-1|PAP1</t>
  </si>
  <si>
    <t>RPE65</t>
  </si>
  <si>
    <t>BCO3|LCA2|RP20|mRPE65|p63|rd12|sRPE65</t>
  </si>
  <si>
    <t>BLIND (AD,AR);METAB (AR);OMIM (AR;AD,AR);PCS (AR)</t>
  </si>
  <si>
    <t>RPGR</t>
  </si>
  <si>
    <t>COD1|CORDX1|CRD|PCDX|RP15|RP3|XLRP3|orf15</t>
  </si>
  <si>
    <t>RPGRIP1</t>
  </si>
  <si>
    <t>CORD13|LCA6|RGI1|RGRIP|RPGRIP|RPGRIP1d</t>
  </si>
  <si>
    <t>RPGRIP1L</t>
  </si>
  <si>
    <t>COACH3|CORS3|FTM|JBTS7|MKS5|NPHP8|PPP1R134</t>
  </si>
  <si>
    <t>RPIA</t>
  </si>
  <si>
    <t>RPI|RPIAD</t>
  </si>
  <si>
    <t>RPL10</t>
  </si>
  <si>
    <t>AUTSX5|DXS648|DXS648E|L10|MRXS35|NOV|QM</t>
  </si>
  <si>
    <t>LENGTE (AD);MR (XL);OMIM (XLR;AD)</t>
  </si>
  <si>
    <t>RPL11</t>
  </si>
  <si>
    <t>DBA7|GIG34|L11|uL5</t>
  </si>
  <si>
    <t>BMF (AD);OMIM (AD);SCHISIS (AD);TUMOR (AD)</t>
  </si>
  <si>
    <t>RPL13</t>
  </si>
  <si>
    <t>BBC1|D16S444E|D16S44E|L13|SEMDIST</t>
  </si>
  <si>
    <t>RPL15</t>
  </si>
  <si>
    <t>DBA12|EC45|L15|RPL10|RPLY10|RPYL10</t>
  </si>
  <si>
    <t>RPL18</t>
  </si>
  <si>
    <t>DBA18|L18</t>
  </si>
  <si>
    <t>RPL21</t>
  </si>
  <si>
    <t>HYPT12|L21</t>
  </si>
  <si>
    <t>RPL26</t>
  </si>
  <si>
    <t>DBA11|L26</t>
  </si>
  <si>
    <t>BMF (AD);OMIM (AD);SCHISIS (AD)</t>
  </si>
  <si>
    <t>RPL27</t>
  </si>
  <si>
    <t>DBA16|L27</t>
  </si>
  <si>
    <t>RPL31</t>
  </si>
  <si>
    <t>L31</t>
  </si>
  <si>
    <t>RPL35</t>
  </si>
  <si>
    <t>DBA19|L35</t>
  </si>
  <si>
    <t>BMF (AD);OMIM (UK,AR,AD,XL)</t>
  </si>
  <si>
    <t>RPL35A</t>
  </si>
  <si>
    <t>DBA5|L35A|eL33</t>
  </si>
  <si>
    <t>RPL4</t>
  </si>
  <si>
    <t>L4</t>
  </si>
  <si>
    <t>RPL5</t>
  </si>
  <si>
    <t>L5|MSTP030|PPP1R135|uL18</t>
  </si>
  <si>
    <t>RPL9</t>
  </si>
  <si>
    <t>L9|NPC-A-16</t>
  </si>
  <si>
    <t>RPN2</t>
  </si>
  <si>
    <t>RIBIIR|RPN-II|RPNII|SWP1</t>
  </si>
  <si>
    <t>RPS10</t>
  </si>
  <si>
    <t>DBA9|S10</t>
  </si>
  <si>
    <t>RPS14</t>
  </si>
  <si>
    <t>EMTB|S14</t>
  </si>
  <si>
    <t>RPS15A</t>
  </si>
  <si>
    <t>DBA20|S15a</t>
  </si>
  <si>
    <t>RPS17</t>
  </si>
  <si>
    <t>DBA4|RPS17L|RPS17L1|RPS17L2|S17</t>
  </si>
  <si>
    <t>RPS19</t>
  </si>
  <si>
    <t>DBA|DBA1|LOH19CR1|S19|eS19</t>
  </si>
  <si>
    <t>BMF (AD);MR (AD);OMIM (AD);SCHISIS (AD);TUMOR (AD)</t>
  </si>
  <si>
    <t>RPS20</t>
  </si>
  <si>
    <t>S20|uS10</t>
  </si>
  <si>
    <t>RPS23</t>
  </si>
  <si>
    <t>BTDD|MABAS|MCINS|PAMAS|S23|uS12</t>
  </si>
  <si>
    <t>RPS24</t>
  </si>
  <si>
    <t>DBA3|S24|eS24</t>
  </si>
  <si>
    <t>RPS26</t>
  </si>
  <si>
    <t>DBA10|S26|eS26</t>
  </si>
  <si>
    <t>RPS27</t>
  </si>
  <si>
    <t>DBA17|MPS-1|MPS1|S27</t>
  </si>
  <si>
    <t>RPS28</t>
  </si>
  <si>
    <t>DBA15|S28|eS28</t>
  </si>
  <si>
    <t>RPS29</t>
  </si>
  <si>
    <t>DBA13|S29|uS14</t>
  </si>
  <si>
    <t>RPS6KA3</t>
  </si>
  <si>
    <t>CLS|HU-3|ISPK-1|MAPKAPK1B|MRX19|RSK|RSK2|S6K-alpha3|p90-RSK2|pp90RSK2</t>
  </si>
  <si>
    <t>RPS7</t>
  </si>
  <si>
    <t>DBA8|S7|eS7</t>
  </si>
  <si>
    <t>RPSA</t>
  </si>
  <si>
    <t>37LRP|67LR|ICAS|LAMBR|LAMR1|LBP|LBP/p40|LRP|LRP/LR|NEM/1CHD4|SA|lamR|p40</t>
  </si>
  <si>
    <t>RRAD</t>
  </si>
  <si>
    <t>RAD|RAD1|REM3</t>
  </si>
  <si>
    <t>RRAGC</t>
  </si>
  <si>
    <t>GTR2|RAGC|TIB929</t>
  </si>
  <si>
    <t>RRAS</t>
  </si>
  <si>
    <t>R-Ras</t>
  </si>
  <si>
    <t>RRAS2</t>
  </si>
  <si>
    <t>NS12|TC21</t>
  </si>
  <si>
    <t>RREB1</t>
  </si>
  <si>
    <t>FINB|HNT|LZ321|RREB-1|Zep-1</t>
  </si>
  <si>
    <t>LENGTE (AD);OMIM (AD);RAS (AD)</t>
  </si>
  <si>
    <t>RRM1</t>
  </si>
  <si>
    <t>R1|RIR1|RR1</t>
  </si>
  <si>
    <t>RRM2B</t>
  </si>
  <si>
    <t>MTDPS8A|MTDPS8B|P53R2</t>
  </si>
  <si>
    <t>DOOF (AR);EPI (AR);MR (AR);NIER (AR);OMIM (AR;AD,AR);OXPHOS (AR);PCS (AR);SPIER (AD,AR)</t>
  </si>
  <si>
    <t>RS1</t>
  </si>
  <si>
    <t>RS|XLRS1</t>
  </si>
  <si>
    <t>RSPH1</t>
  </si>
  <si>
    <t>CT79|RSP44|RSPH10A|TSA2|TSGA2</t>
  </si>
  <si>
    <t>RSPH3</t>
  </si>
  <si>
    <t>CILD32|RSHL2|RSP3|dJ111C20.1</t>
  </si>
  <si>
    <t>RSPH4A</t>
  </si>
  <si>
    <t>CILD11|RSHL3|RSPH6B|dJ412I7.1</t>
  </si>
  <si>
    <t>RSPH9</t>
  </si>
  <si>
    <t>C6orf206|CILD12|MRPS18AL1</t>
  </si>
  <si>
    <t>CILIO (AR);IMMUUN (AR);OMIM (AR;UK,AR,AD,XL);PCS (AR)</t>
  </si>
  <si>
    <t>RSPO1</t>
  </si>
  <si>
    <t>CRISTIN3|RSPO</t>
  </si>
  <si>
    <t>DERM (AR);DSD (AR);OMIM (AR);PCS (AR)</t>
  </si>
  <si>
    <t>RSPO2</t>
  </si>
  <si>
    <t>CRISTIN2|HHRRD|TETAMS2</t>
  </si>
  <si>
    <t>RSPO4</t>
  </si>
  <si>
    <t>C20orf182|CRISTIN4</t>
  </si>
  <si>
    <t>RSPRY1</t>
  </si>
  <si>
    <t>SEMDFA</t>
  </si>
  <si>
    <t>RSRC1</t>
  </si>
  <si>
    <t>BM-011|MRT70|SFRS21|SRrp53</t>
  </si>
  <si>
    <t>RTEL1</t>
  </si>
  <si>
    <t>C20orf41|DKCA4|DKCB5|NHL|PFBMFT3|RTEL</t>
  </si>
  <si>
    <t>BMF (AD,AR);DERM (AD,AR);DKC (AD,AR);IMMUUN (AD,AR);MR (AD,AR);OMIM (AD,AR);PCS (AR);TUMOR (AD,AR)</t>
  </si>
  <si>
    <t>RTN2</t>
  </si>
  <si>
    <t>NSP2|NSPL1|NSPLI|SPG12</t>
  </si>
  <si>
    <t>RTN4IP1</t>
  </si>
  <si>
    <t>NIMP|OPA10</t>
  </si>
  <si>
    <t>BLIND (AR);MR (AR);OMIM (AR);OXPHOS (AR);PCS (AR)</t>
  </si>
  <si>
    <t>RTTN</t>
  </si>
  <si>
    <t>MSSP</t>
  </si>
  <si>
    <t>RUBCN</t>
  </si>
  <si>
    <t>KIAA0226|RUBICON|SCAR15</t>
  </si>
  <si>
    <t>RUNX1</t>
  </si>
  <si>
    <t>AML1|AML1-EVI-1|AMLCR1|CBF2alpha|CBFA2|EVI-1|PEBP2aB|PEBP2alpha</t>
  </si>
  <si>
    <t>BMF (AD);HEMOS (AD);OMIM (AD;UK,AR,AD,XL);TUMOR (AD)</t>
  </si>
  <si>
    <t>RUNX2</t>
  </si>
  <si>
    <t>AML3|CBF-alpha-1|CBFA1|CCD|CCD1|CLCD|OSF-2|OSF2|PEA2aA|PEBP2aA</t>
  </si>
  <si>
    <t>CFA (AD);DERM (AD);LENGTE (AD);OMIM (AD);SCHISIS (AD)</t>
  </si>
  <si>
    <t>RUNX3</t>
  </si>
  <si>
    <t>AML2|CBFA3|PEBP2aC</t>
  </si>
  <si>
    <t>RUSC2</t>
  </si>
  <si>
    <t>Iporin|MRT61</t>
  </si>
  <si>
    <t>RXYLT1</t>
  </si>
  <si>
    <t>HP10481|MDDGA10|TMEM5</t>
  </si>
  <si>
    <t>RYR1</t>
  </si>
  <si>
    <t>CCO|MHS|MHS1|PPP1R137|RYDR|RYR|RYR-1|SKRR</t>
  </si>
  <si>
    <t>AKI (AR);OMIM (AR;AD,AR);OXPHOS (AR);PCS (AR);SPIER (AD,AR)</t>
  </si>
  <si>
    <t>RYR2</t>
  </si>
  <si>
    <t>ARVC2|ARVD2|RYR-2|RyR|VTSIP</t>
  </si>
  <si>
    <t>S1PR2</t>
  </si>
  <si>
    <t>AGR16|DFNB68|EDG-5|EDG5|Gpcr13|H218|LPB2|S1P2</t>
  </si>
  <si>
    <t>SAA2</t>
  </si>
  <si>
    <t>SAA|SAA1</t>
  </si>
  <si>
    <t>SACS</t>
  </si>
  <si>
    <t>ARSACS|DNAJC29|PPP1R138|SPAX6</t>
  </si>
  <si>
    <t>SAG</t>
  </si>
  <si>
    <t>RP47|S-AG</t>
  </si>
  <si>
    <t>SALL1</t>
  </si>
  <si>
    <t>HEL-S-89|HSAL1|Sal-1|TBS|ZNF794</t>
  </si>
  <si>
    <t>CFA (AD);LENGTE (AD);MR (AD);NIER (AD);OMIM (AD)</t>
  </si>
  <si>
    <t>SALL2</t>
  </si>
  <si>
    <t>COLB|HSAL2|Sal-2|ZNF795|p150(Sal2)</t>
  </si>
  <si>
    <t>SALL4</t>
  </si>
  <si>
    <t>DRRS|HSAL4|ZNF797</t>
  </si>
  <si>
    <t>CFA (AD);LENGTE (AD);NIER (AD);OMIM (AD);SCHISIS (AD)</t>
  </si>
  <si>
    <t>SAMD11</t>
  </si>
  <si>
    <t>MRS</t>
  </si>
  <si>
    <t>SAMD12</t>
  </si>
  <si>
    <t>SAMD9</t>
  </si>
  <si>
    <t>C7orf5|DRIF1|M7MLS2|MIRAGE|NFTC|OEF1|OEF2</t>
  </si>
  <si>
    <t>BMF (AD);DERM (AR);DSD (AR);IMMUUN (AD,AR);MR (AD);OMIM (AD;AD,AR);PCS (AR);TUMOR (AD)</t>
  </si>
  <si>
    <t>SAMD9L</t>
  </si>
  <si>
    <t>ATXPC|C7orf6|DRIF2|M7MLS1|UEF1</t>
  </si>
  <si>
    <t>BEWEGING (AD);BMF (AD);HMSN (AD);IMMUUN (AD);OMIM (AD);TUMOR (AD)</t>
  </si>
  <si>
    <t>SAMHD1</t>
  </si>
  <si>
    <t>CHBL2|DCIP|HDDC1|MOP-5|SBBI88|hSAMHD1</t>
  </si>
  <si>
    <t>BEWEGING (AR);DERM (AD,AR);EPI (AR);IMMUUN (AR);MR (AR);OMIM (AD,AR);OXPHOS (AR);PCS (AR)</t>
  </si>
  <si>
    <t>SAR1B</t>
  </si>
  <si>
    <t>ANDD|CMRD|GTBPB|SARA2</t>
  </si>
  <si>
    <t>SARDH</t>
  </si>
  <si>
    <t>BPR-2|DMGDHL1|SAR|SARD|SDH</t>
  </si>
  <si>
    <t>SARS1</t>
  </si>
  <si>
    <t>NEDMAS|SARS|SERRS|SERS</t>
  </si>
  <si>
    <t>SARS2</t>
  </si>
  <si>
    <t>SARS|SARSM|SERS|SYS|SerRS|SerRSmt|mtSerRS</t>
  </si>
  <si>
    <t>NIER (AR);OMIM (AR);OXPHOS (AR);PCS (AR)</t>
  </si>
  <si>
    <t>SART3</t>
  </si>
  <si>
    <t>DSAP1|P100|RP11-13G14|TIP110|p110|p110(nrb)</t>
  </si>
  <si>
    <t>SASH1</t>
  </si>
  <si>
    <t>CAPOK|DUH1|SH3D6A|dJ323M4.1</t>
  </si>
  <si>
    <t>SASH3</t>
  </si>
  <si>
    <t>753P9|CXorf9|HACS2|SH3D6C|SLY</t>
  </si>
  <si>
    <t>SASS6</t>
  </si>
  <si>
    <t>MCPH14|SAS-6|SAS6</t>
  </si>
  <si>
    <t>SAT1</t>
  </si>
  <si>
    <t>DC21|KFSD|KFSDX|SAT|SSAT|SSAT-1</t>
  </si>
  <si>
    <t>DERM (XL);METAB (AR);OMIM (AR;XL)</t>
  </si>
  <si>
    <t>SATB2</t>
  </si>
  <si>
    <t>GLSS</t>
  </si>
  <si>
    <t>CFA (AD);DERM (AD);MR (AD);OMIM (AD);SCHISIS (AD)</t>
  </si>
  <si>
    <t>SBDS</t>
  </si>
  <si>
    <t>CGI-97|SDO1|SDS|SWDS</t>
  </si>
  <si>
    <t>BMF (AR);IMMUUN (AR);LENGTE (AR);MR (AR);OMIM (AR;AD);PCS (AR);TUMOR (AD)</t>
  </si>
  <si>
    <t>SBF1</t>
  </si>
  <si>
    <t>CMT4B3|DENND7A|MTMR5</t>
  </si>
  <si>
    <t>SBF2</t>
  </si>
  <si>
    <t>CMT4B2|DENND7B|MTMR13</t>
  </si>
  <si>
    <t>SC5D</t>
  </si>
  <si>
    <t>ERG3|S5DES|SC5DL</t>
  </si>
  <si>
    <t>SCAMP5</t>
  </si>
  <si>
    <t>SCAPER</t>
  </si>
  <si>
    <t>IDDRP|MSTP063|ZNF291|Zfp291</t>
  </si>
  <si>
    <t>SCARB2</t>
  </si>
  <si>
    <t>AMRF|CD36L2|EPM4|HLGP85|LGP85|LIMP-2|LIMPII|SR-BII</t>
  </si>
  <si>
    <t>EPI (AR);HMSN (AR);METAB (AR);NIER (AR);OMIM (AR);PCS (AR)</t>
  </si>
  <si>
    <t>SCARF2</t>
  </si>
  <si>
    <t>NSR1|SREC-II|SREC2|SRECRP-1|VDEGS</t>
  </si>
  <si>
    <t>ANEURYSM (AR);CFA (AR);LENGTE (AR);OMIM (AR);PCS (AR);SCHISIS (AR)</t>
  </si>
  <si>
    <t>SCD5</t>
  </si>
  <si>
    <t>ACOD4|DFNA79|FADS4|HSCD5|SCD2|SCD4</t>
  </si>
  <si>
    <t>SCIMP</t>
  </si>
  <si>
    <t>C17orf87|UNQ5783</t>
  </si>
  <si>
    <t>SCLT1</t>
  </si>
  <si>
    <t>CAP-1A|CAP1A</t>
  </si>
  <si>
    <t>SCN10A</t>
  </si>
  <si>
    <t>FEPS2|Nav1.8|PN3|SNS</t>
  </si>
  <si>
    <t>DERM (AD,AR);HART (AD);HMSN (AD);HNPD (AD);OMIM (AD;AD,AR)</t>
  </si>
  <si>
    <t>SCN11A</t>
  </si>
  <si>
    <t>FEPS3|HSAN7|NAV1.9|NaN|PN5|SCN12A|SNS-2</t>
  </si>
  <si>
    <t>BEWEGING (AD);DERM (AD,AR);HMSN (AD);HNPD (AD);OMIM (AD;AD,AR)</t>
  </si>
  <si>
    <t>SCN1A</t>
  </si>
  <si>
    <t>DEE6|DRVT|EIEE6|FEB3|FEB3A|FHM3|GEFSP2|HBSCI|NAC1|Nav1.1|SCN1|SMEI</t>
  </si>
  <si>
    <t>SCN1B</t>
  </si>
  <si>
    <t>ATFB13|BRGDA5|DEE52|EIEE52|GEFSP1</t>
  </si>
  <si>
    <t>EPI (AD);HART (AD);HNPD (AD);MR (AR);OMIM (AR;AD;AD,AR);PCS (AR)</t>
  </si>
  <si>
    <t>SCN2A</t>
  </si>
  <si>
    <t>BFIC3|BFIS3|BFNIS|DEE11|EA9|EIEE11|HBA|HBSCI|HBSCII|NAC2|Na(v)1.2|Nav1.2|SCN2A1|SCN2A2</t>
  </si>
  <si>
    <t>SCN2B</t>
  </si>
  <si>
    <t>ATFB14</t>
  </si>
  <si>
    <t>SCN3A</t>
  </si>
  <si>
    <t>DEE62|EIEE62|FFEVF4|NAC3|Nav1.3</t>
  </si>
  <si>
    <t>SCN3B</t>
  </si>
  <si>
    <t>ATFB16|BRGDA7|HSA243396|SCNB3</t>
  </si>
  <si>
    <t>SCN4A</t>
  </si>
  <si>
    <t>CMS16|HOKPP2|HYKPP|HYPP|NAC1A|Na(V)1.4|Nav1.4|SkM1</t>
  </si>
  <si>
    <t>AKI (AD,AR);OMIM (AD;AD,AR);PCS (AR);SPIER (AD)</t>
  </si>
  <si>
    <t>SCN4B</t>
  </si>
  <si>
    <t>ATFB17|LQT10|Navbeta4</t>
  </si>
  <si>
    <t>SCN5A</t>
  </si>
  <si>
    <t>CDCD2|CMD1E|CMPD2|HB1|HB2|HBBD|HH1|ICCD|IVF|LQT3|Nav1.5|PFHB1|SSS1|VF1</t>
  </si>
  <si>
    <t>HART (AD);OMIM (AD,AR)</t>
  </si>
  <si>
    <t>SCN7A</t>
  </si>
  <si>
    <t>NaG|Nav2.1|Nav2.2|SCN6A</t>
  </si>
  <si>
    <t>SCN8A</t>
  </si>
  <si>
    <t>BFIS5|CERIII|CIAT|DEE13|EIEE13|MED|MYOCL2|NaCh6|Nav1.6|PN4</t>
  </si>
  <si>
    <t>SCN9A</t>
  </si>
  <si>
    <t>ETHA|FEB3B|GEFSP7|HSAN2D|NE-NA|NENA|Nav1.7|PN1|SFNP</t>
  </si>
  <si>
    <t>DERM (AD,AR);HMSN (AD,AR);HNPD (AD,AR);OMIM (AD,AR);PCS (AR)</t>
  </si>
  <si>
    <t>SCNN1A</t>
  </si>
  <si>
    <t>BESC2|ENaCa|ENaCalpha|LIDLS3|SCNEA|SCNN1</t>
  </si>
  <si>
    <t>NIER (AR);OMIM (AR;AD,AR);PCS (AR)</t>
  </si>
  <si>
    <t>SCNN1B</t>
  </si>
  <si>
    <t>BESC1|ENaCb|ENaCbeta|LIDLS1|SCNEB</t>
  </si>
  <si>
    <t>SCNN1G</t>
  </si>
  <si>
    <t>BESC3|ENaCg|ENaCgamma|LDLS2|PHA1|SCNEG</t>
  </si>
  <si>
    <t>SCO1</t>
  </si>
  <si>
    <t>MC4DN4|SCOD1</t>
  </si>
  <si>
    <t>LEVER (AR);MR (AR);OMIM (AR;UK,AR,AD,XL);OXPHOS (AR);PCS (AR)</t>
  </si>
  <si>
    <t>SCO2</t>
  </si>
  <si>
    <t>CEMCOX1|ECGF1|Gliostatin|MC4DN2|MYP6|PD-ECGF|SCO1L|TP|TYMP|TdRPase</t>
  </si>
  <si>
    <t>BLIND (AD);HMSN (AR);MR (AR);OMIM (AR;AD;AD,AR);OXPHOS (AR);PCS (AR)</t>
  </si>
  <si>
    <t>SCP2</t>
  </si>
  <si>
    <t>NLTP|NSL-TP|SCOX|SCP-2|SCP-CHI|SCP-X|SCPX</t>
  </si>
  <si>
    <t>HMSN (AR);METAB (AR);OMIM (AR);OXPHOS (AR);PCS (AR)</t>
  </si>
  <si>
    <t>SCYL1</t>
  </si>
  <si>
    <t>GKLP|HT019|NKTL|NTKL|P105|SCAR21|TAPK|TEIF|TRAP</t>
  </si>
  <si>
    <t>HMSN (AR);METAB (AR);MR (AR);OMIM (AR);PCS (AR)</t>
  </si>
  <si>
    <t>SDCCAG8</t>
  </si>
  <si>
    <t>BBS16|CCCAP|CCCAP SLSN7|HSPC085|NPHP10|NY-CO-8|SLSN7|hCCCAP</t>
  </si>
  <si>
    <t>SDHA</t>
  </si>
  <si>
    <t>CMD1GG|FP|MC2DN1|PGL5|SDH1|SDH2|SDHF</t>
  </si>
  <si>
    <t>HART (AR);MR (AR);OMIM (AR;UK,AR,AD,XL;AD,AR);OXPHOS (AR);PCS (AR);TUMOR (AD,AR)</t>
  </si>
  <si>
    <t>SDHAF1</t>
  </si>
  <si>
    <t>LYRM8|MC2DN2</t>
  </si>
  <si>
    <t>SDHAF2</t>
  </si>
  <si>
    <t>C11orf79|PGL2|SDH5</t>
  </si>
  <si>
    <t>SDHB</t>
  </si>
  <si>
    <t>CWS2|IP|MC2DN4|PGL4|SDH|SDH1|SDH2|SDHIP</t>
  </si>
  <si>
    <t>OMIM (UK,AR,AD,XL);OXPHOS (AR);TUMOR (AD)</t>
  </si>
  <si>
    <t>SDHC</t>
  </si>
  <si>
    <t>CYB560|CYBL|PGL3|QPS1|SDH3</t>
  </si>
  <si>
    <t>SDHD</t>
  </si>
  <si>
    <t>CBT1|CII-4|CWS3|MC2DN3|PGL|PGL1|QPs3|SDH4|cybS</t>
  </si>
  <si>
    <t>OMIM (AD;AD,AR);OXPHOS (AR);PCS (AR);TUMOR (AD)</t>
  </si>
  <si>
    <t>SDR9C7</t>
  </si>
  <si>
    <t>ARCI13|RDHS|SDR-O|SDRO</t>
  </si>
  <si>
    <t>SEC23A</t>
  </si>
  <si>
    <t>CLSD|hSec23A</t>
  </si>
  <si>
    <t>SEC23B</t>
  </si>
  <si>
    <t>CDA-II|CDAII|CDAN2|CWS7|HEMPAS|hSec23B</t>
  </si>
  <si>
    <t>DERM (AR);IJZER (AR);METAB (AD,AR);OMIM (AD,AR);PCS (AR)</t>
  </si>
  <si>
    <t>SEC24D</t>
  </si>
  <si>
    <t>CLCRP2</t>
  </si>
  <si>
    <t>SEC31A</t>
  </si>
  <si>
    <t>ABP125|ABP130|HSPC275|HSPC334|NEDSOSB|SEC31L1</t>
  </si>
  <si>
    <t>SEC61A1</t>
  </si>
  <si>
    <t>ADTKD5|HNFJ4|HSEC61|SEC61|SEC61A</t>
  </si>
  <si>
    <t>IMMUUN (AD);NIER (AD);OMIM (AD)</t>
  </si>
  <si>
    <t>SEC61B</t>
  </si>
  <si>
    <t>SEC63</t>
  </si>
  <si>
    <t>DNAJC23|ERdj2|PCLD2|PRO2507|SEC63L</t>
  </si>
  <si>
    <t>SECISBP2</t>
  </si>
  <si>
    <t>SBP2</t>
  </si>
  <si>
    <t>SELENBP1</t>
  </si>
  <si>
    <t>EHMTO|HEL-S-134P|LPSB|MTO|SBP56|SP56|hSBP</t>
  </si>
  <si>
    <t>SELENON</t>
  </si>
  <si>
    <t>CFTD|MDRS1|RSMD1|RSS|SELN|SEPN1</t>
  </si>
  <si>
    <t>AKI (AD,AR);OMIM (AD,AR);PCS (AR);SPIER (AR)</t>
  </si>
  <si>
    <t>SELENOP</t>
  </si>
  <si>
    <t>SELP|SEPP|SEPP1|SeP</t>
  </si>
  <si>
    <t>SEMA3A</t>
  </si>
  <si>
    <t>COLL1|HH16|Hsema-I|Hsema-III|SEMA1|SEMAD|SEMAIII|SEMAL|SemD|coll-1</t>
  </si>
  <si>
    <t>DSD (AD);HH (AD);LENGTE (AD);OMIM (AD)</t>
  </si>
  <si>
    <t>SEMA3E</t>
  </si>
  <si>
    <t>M-SEMAH|M-SemaK|SEMAH|coll-5</t>
  </si>
  <si>
    <t>CFA (AD);IMMUUN (AD);MR (AD);OMIM (AD);SCHISIS (AD)</t>
  </si>
  <si>
    <t>SEMA4A</t>
  </si>
  <si>
    <t>CORD10|RP35|SEMAB|SEMB</t>
  </si>
  <si>
    <t>BLIND (AR);OMIM (AD,AR);PCS (AR);TUMOR (AD)</t>
  </si>
  <si>
    <t>SEMA6B</t>
  </si>
  <si>
    <t>EPM11|SEM-SEMA-Y|SEMA-VIB|SEMAN|semaZ</t>
  </si>
  <si>
    <t>SEPSECS</t>
  </si>
  <si>
    <t>LP|PCH2D|SLA|SLA/LP</t>
  </si>
  <si>
    <t>SEPTIN12</t>
  </si>
  <si>
    <t>SEPT12|SPGF10</t>
  </si>
  <si>
    <t>SEPTIN9</t>
  </si>
  <si>
    <t>AF17q25|MSF|MSF1|NAPB|PNUTL4|SEPT9|SINT1|SeptD1</t>
  </si>
  <si>
    <t>HMSN (AD);HNPD (AD);OMIM (AD);SCHISIS (AD)</t>
  </si>
  <si>
    <t>SERAC1</t>
  </si>
  <si>
    <t>BEWEGING (AR);DOOF (AR);IMMUUN (AR);METAB (AR);MR (AR);OMIM (AR);OXPHOS (AR);PCS (AR)</t>
  </si>
  <si>
    <t>SERPINA1</t>
  </si>
  <si>
    <t>A1A|A1AT|AAT|PI|PI1|PRO2275|alpha1AT|nNIF</t>
  </si>
  <si>
    <t>SERPINA12</t>
  </si>
  <si>
    <t>OL-64</t>
  </si>
  <si>
    <t>SERPINA3</t>
  </si>
  <si>
    <t>AACT|ACT|GIG24|GIG25</t>
  </si>
  <si>
    <t>SERPINA6</t>
  </si>
  <si>
    <t>CBG</t>
  </si>
  <si>
    <t>SERPINB6</t>
  </si>
  <si>
    <t>CAP|DFNB91|MSTP057|PI-6|PI6|PTI|SPI3</t>
  </si>
  <si>
    <t>SERPINB7</t>
  </si>
  <si>
    <t>MEGSIN|PPKN|TP55</t>
  </si>
  <si>
    <t>SERPINB8</t>
  </si>
  <si>
    <t>C18orf53|CAP2|PI-8|PI8|PSS5</t>
  </si>
  <si>
    <t>SERPINC1</t>
  </si>
  <si>
    <t>AT3|AT3D|ATIII|ATIII-R2|ATIII-T1|ATIII-T2|THPH7</t>
  </si>
  <si>
    <t>SERPIND1</t>
  </si>
  <si>
    <t>D22S673|HC2|HCF2|HCII|HLS2|LS2|THPH10</t>
  </si>
  <si>
    <t>SERPINE1</t>
  </si>
  <si>
    <t>PAI|PAI-1|PAI1|PLANH1</t>
  </si>
  <si>
    <t>ANEURYSM (AD);HEMOS (AD,AR);OMIM (AD,AR);PCS (AR)</t>
  </si>
  <si>
    <t>SERPINF1</t>
  </si>
  <si>
    <t>EPC-1|OI12|OI6|PEDF|PIG35</t>
  </si>
  <si>
    <t>SERPINF2</t>
  </si>
  <si>
    <t>A2AP|AAP|ALPHA-2-PI|API|PLI|alpha2AP</t>
  </si>
  <si>
    <t>SERPING1</t>
  </si>
  <si>
    <t>C1IN|C1INH|C1NH|HAE1|HAE2</t>
  </si>
  <si>
    <t>DERM (AD,AR);IMMUUN (AD);OMIM (AD,AR);PCS (AR)</t>
  </si>
  <si>
    <t>SERPINH1</t>
  </si>
  <si>
    <t>AsTP3|CBP1|CBP2|HSP47|OI10|PIG14|PPROM|RA-A47|SERPINH2|gp46</t>
  </si>
  <si>
    <t>SERPINI1</t>
  </si>
  <si>
    <t>PI12|neuroserpin</t>
  </si>
  <si>
    <t>SET</t>
  </si>
  <si>
    <t>2PP2A|I2PP2A|IGAAD|IPP2A2|MRD58|PHAPII|TAF-I|TAF-IBETA</t>
  </si>
  <si>
    <t>SETBP1</t>
  </si>
  <si>
    <t>MRD29|SEB</t>
  </si>
  <si>
    <t>SETD1A</t>
  </si>
  <si>
    <t>EPEDD|KMT2F|NEDSID|Set1|Set1A</t>
  </si>
  <si>
    <t>SETD1B</t>
  </si>
  <si>
    <t>IDDSELD|KMT2G|Set1B</t>
  </si>
  <si>
    <t>SETD2</t>
  </si>
  <si>
    <t>HBP231|HIF-1|HIP-1|HSPC069|HYPB|KMT3A|LLS|SET2|p231HBP</t>
  </si>
  <si>
    <t>SETD5</t>
  </si>
  <si>
    <t>SETX</t>
  </si>
  <si>
    <t>ALS4|AOA2|SCAN2|SCAR1|Sen1|bA479K20.2</t>
  </si>
  <si>
    <t>ALS (AR);BEWEGING (AR);HMSN (AD,AR);OMIM (AR;AD,AR);PCS (AR)</t>
  </si>
  <si>
    <t>SF3B1</t>
  </si>
  <si>
    <t>Hsh155|MDS|PRP10|PRPF10|SAP155|SF3b155</t>
  </si>
  <si>
    <t>IJZER (UK,AR,AD,XL);OMIM (UK,AR,AD,XL)</t>
  </si>
  <si>
    <t>SF3B4</t>
  </si>
  <si>
    <t>AFD1|Hsh49|SAP49|SF3b49</t>
  </si>
  <si>
    <t>CFA (AD);LENGTE (AD,AR);OMIM (AD;AD,AR);SCHISIS (AD)</t>
  </si>
  <si>
    <t>SFRP4</t>
  </si>
  <si>
    <t>FRP-4|FRPHE|FRZB-2|PYL|sFRP-4</t>
  </si>
  <si>
    <t>SFTPA1</t>
  </si>
  <si>
    <t>COLEC4|PSAP|PSP-A|PSPA|SFTP1|SFTPA1B|SP-A|SP-A1|SP-A1 beta|SP-A1 delta|SP-A1 epsilon|SP-A1 gamma|SPA|SPA1</t>
  </si>
  <si>
    <t>SFTPA2</t>
  </si>
  <si>
    <t>COLEC5|PSAP|PSP-A|PSPA|SFTP1|SFTPA2B|SP-2A|SP-A|SPA2|SPAII</t>
  </si>
  <si>
    <t>SFTPB</t>
  </si>
  <si>
    <t>PSP-B|SFTB3|SFTP3|SMDP1|SP-B</t>
  </si>
  <si>
    <t>SFTPC</t>
  </si>
  <si>
    <t>BRICD6|PSP-C|SFTP2|SMDP2|SP-C|SP5</t>
  </si>
  <si>
    <t>SFXN4</t>
  </si>
  <si>
    <t>BCRM1|COXPD18|SLC56A4</t>
  </si>
  <si>
    <t>IJZER (AD,AR);OMIM (AR;AD,AR);OXPHOS (AR);PCS (AR)</t>
  </si>
  <si>
    <t>SGCA</t>
  </si>
  <si>
    <t>50DAG|ADL|DAG2|DMDA2|LGMD2D|LGMDR3|SCARMD1|adhalin</t>
  </si>
  <si>
    <t>HART (AR);OMIM (AR);PCS (AR);SPIER (AR)</t>
  </si>
  <si>
    <t>SGCB</t>
  </si>
  <si>
    <t>A3b|LGMD2E|LGMDR4|SGC</t>
  </si>
  <si>
    <t>SGCD</t>
  </si>
  <si>
    <t>35DAG|CMD1L|DAGD|LGMDR6|SG-delta|SGCDP|SGD</t>
  </si>
  <si>
    <t>SGCE</t>
  </si>
  <si>
    <t>DYT11|ESG|epsilon-SG</t>
  </si>
  <si>
    <t>SGCG</t>
  </si>
  <si>
    <t>35DAG|A4|DAGA4|DMDA|DMDA1|LGMD2C|LGMDR5|MAM|SCARMD2|SCG3|gamma-SG</t>
  </si>
  <si>
    <t>SGMS2</t>
  </si>
  <si>
    <t>CDL|SMS2</t>
  </si>
  <si>
    <t>SGO1</t>
  </si>
  <si>
    <t>CAID|NY-BR-85|SGO|SGOL1</t>
  </si>
  <si>
    <t>SGPL1</t>
  </si>
  <si>
    <t>NPHS14|S1PL|SPL</t>
  </si>
  <si>
    <t>DERM (AR);DSD (AR);HMSN (AD);MR (AR);NIER (AR);OMIM (AR;AD);PCS (AR)</t>
  </si>
  <si>
    <t>SGSH</t>
  </si>
  <si>
    <t>HSS|MPS3A|SFMD</t>
  </si>
  <si>
    <t>SH2B3</t>
  </si>
  <si>
    <t>IDDM20|LNK</t>
  </si>
  <si>
    <t>BMF (AD);HEMOS (AD,AR);IMMUUN (AR);OMIM (AD;AD,AR;UK,AR,AD,XL);TUMOR (AD)</t>
  </si>
  <si>
    <t>SH2D1A</t>
  </si>
  <si>
    <t>DSHP|EBVS|IMD5|LYP|MTCP1|SAP|SAP/SH2D1A|XLP|XLPD|XLPD1</t>
  </si>
  <si>
    <t>BMF (XL);IMMUUN (XL);OMIM (XL;XLR);TUMOR (XLR)</t>
  </si>
  <si>
    <t>SH3BP2</t>
  </si>
  <si>
    <t>3BP-2|3BP2|CRBM|CRPM|RES4-23</t>
  </si>
  <si>
    <t>CFA (AD);IMMUUN (AD);LENGTE (AD);OMIM (AD)</t>
  </si>
  <si>
    <t>SH3KBP1</t>
  </si>
  <si>
    <t>AGMX2|CD2BP3|CIN85|GIG10|HSB-1|HSB1|IMD61|MIG18</t>
  </si>
  <si>
    <t>SH3PXD2B</t>
  </si>
  <si>
    <t>FAD49|FTHS|HOFI|KIAA1295|TKS4|TSK4</t>
  </si>
  <si>
    <t>SH3TC2</t>
  </si>
  <si>
    <t>CMT4C|MNMN</t>
  </si>
  <si>
    <t>SHANK2</t>
  </si>
  <si>
    <t>AUTS17|CORTBP1|CTTNBP1|ProSAP1|SHANK|SPANK-3</t>
  </si>
  <si>
    <t>SHANK3</t>
  </si>
  <si>
    <t>DEL22q13.3|PROSAP2|PSAP2|SCZD15|SPANK-2</t>
  </si>
  <si>
    <t>SHH</t>
  </si>
  <si>
    <t>HHG1|HLP3|HPE3|MCOPCB5|SMMCI|ShhNC|TPT|TPTPS</t>
  </si>
  <si>
    <t>BLIND (AD);CFA (AD,AR);LENGTE (AD,AR);MR (AD);OMIM (AD;AD,AR);SCHISIS (AD)</t>
  </si>
  <si>
    <t>SHOC2</t>
  </si>
  <si>
    <t>NSLH1|SIAA0862|SOC2|SUR8</t>
  </si>
  <si>
    <t>DERM (AD);HART (AD);LENGTE (AD);MR (AD);OMIM (AD);RAS (AD);TUMOR (AD)</t>
  </si>
  <si>
    <t>SHOX</t>
  </si>
  <si>
    <t>GCFX|PHOG|SHOXY|SS</t>
  </si>
  <si>
    <t>LENGTE (AD,AR);OMIM (UK,AR,AD,XL;AD,AR)</t>
  </si>
  <si>
    <t>SHROOM3</t>
  </si>
  <si>
    <t>APXL3|MSTP013|SHRM|ShrmL</t>
  </si>
  <si>
    <t>CHD (AD,AR);HART (AD);OMIM (AD,AR)</t>
  </si>
  <si>
    <t>SHROOM4</t>
  </si>
  <si>
    <t>SHAP|shrm4</t>
  </si>
  <si>
    <t>SI</t>
  </si>
  <si>
    <t>SIAH1</t>
  </si>
  <si>
    <t>SIAH1A</t>
  </si>
  <si>
    <t>SIGLEC7</t>
  </si>
  <si>
    <t>AIRM-1|AIRM1|CD328|CDw328|D-siglec|QA79|SIGLEC-7|SIGLEC19P|SIGLECP2|p75|p75/AIRM1</t>
  </si>
  <si>
    <t>SIGMAR1</t>
  </si>
  <si>
    <t>ALS16|DSMA2|OPRS1|SIG-1R|SR-BP|SR-BP1|SRBP|hSigmaR1|sigma1R</t>
  </si>
  <si>
    <t>ALS (AR);HMSN (AR);OMIM (AR);PCS (AR)</t>
  </si>
  <si>
    <t>SIK1</t>
  </si>
  <si>
    <t>DEE30|MSK|SIK|SIK-1|SIK1B|SNF1LK</t>
  </si>
  <si>
    <t>SIK3</t>
  </si>
  <si>
    <t>L19|QSK|SEMDK|SIK-3</t>
  </si>
  <si>
    <t>SIL1</t>
  </si>
  <si>
    <t>BAP|MSS|ULG5</t>
  </si>
  <si>
    <t>SIN3A</t>
  </si>
  <si>
    <t>WITKOS</t>
  </si>
  <si>
    <t>SIPA1L3</t>
  </si>
  <si>
    <t>CTRCT45|SPAL3|SPAR3</t>
  </si>
  <si>
    <t>SIX1</t>
  </si>
  <si>
    <t>BOS3|DFNA23|TIP39</t>
  </si>
  <si>
    <t>CFA (AD);DOOF (AD);OMIM (AD);SCHISIS (AD)</t>
  </si>
  <si>
    <t>SIX3</t>
  </si>
  <si>
    <t>HPE2</t>
  </si>
  <si>
    <t>SIX5</t>
  </si>
  <si>
    <t>BOR2|DMAHP</t>
  </si>
  <si>
    <t>DOOF (AD);NIER (AD);OMIM (UK,AR,AD,XL);SCHISIS (AD)</t>
  </si>
  <si>
    <t>SIX6</t>
  </si>
  <si>
    <t>MCOPCT2|ODRMD|OPTX2|Six9</t>
  </si>
  <si>
    <t>SKI</t>
  </si>
  <si>
    <t>SGS|SKV</t>
  </si>
  <si>
    <t>ANEURYSM (AD);CFA (AD);DERM (AD);HART (AD);LENGTE (AD);MR (AD);OMIM (AD);SCHISIS (AD)</t>
  </si>
  <si>
    <t>SKIV2L</t>
  </si>
  <si>
    <t>170A|DDX13|HLP|SKI2|SKI2W|SKIV2|SKIV2L1|THES2</t>
  </si>
  <si>
    <t>SLC10A2</t>
  </si>
  <si>
    <t>ASBT|IBAT|ISBT|NTCP2|PBAM</t>
  </si>
  <si>
    <t>SLC10A7</t>
  </si>
  <si>
    <t>C4orf13|P7|SSASKS</t>
  </si>
  <si>
    <t>SLC11A2</t>
  </si>
  <si>
    <t>AHMIO1|DCT1|DMT1|NRAMP2</t>
  </si>
  <si>
    <t>SLC12A1</t>
  </si>
  <si>
    <t>BSC1|NKCC2</t>
  </si>
  <si>
    <t>DOOF (AR);METAB (AR);NIER (AR);OMIM (AR);PCS (AR)</t>
  </si>
  <si>
    <t>SLC12A2</t>
  </si>
  <si>
    <t>BSC|BSC2|KILQS|NKCC1|PPP1R141</t>
  </si>
  <si>
    <t>SLC12A3</t>
  </si>
  <si>
    <t>NCC|NCCT|TSC</t>
  </si>
  <si>
    <t>SLC12A5</t>
  </si>
  <si>
    <t>DEE34|EIEE34|EIG14|KCC2|hKCC2</t>
  </si>
  <si>
    <t>EPI (AD);MR (AR);OMIM (AR;AD);PCS (AR)</t>
  </si>
  <si>
    <t>SLC12A6</t>
  </si>
  <si>
    <t>ACCPN|KCC3|KCC3A|KCC3B</t>
  </si>
  <si>
    <t>SLC13A3</t>
  </si>
  <si>
    <t>ARLIAK|NADC3|SDCT2</t>
  </si>
  <si>
    <t>SLC13A5</t>
  </si>
  <si>
    <t>DEE25|EIEE25|INDY|NACT|mIndy</t>
  </si>
  <si>
    <t>SLC16A1</t>
  </si>
  <si>
    <t>HHF7|MCT|MCT1|MCT1D</t>
  </si>
  <si>
    <t>EPI (AD);METAB (AR);OMIM (AD;AR;AD,AR);PCS (AR)</t>
  </si>
  <si>
    <t>SLC16A12</t>
  </si>
  <si>
    <t>CJMG|CRT2|CTRCT47|MCT12</t>
  </si>
  <si>
    <t>SLC16A2</t>
  </si>
  <si>
    <t>AHDS|DXS128|DXS128E|MCT 7|MCT 8|MCT7|MCT8|MRX22|XPCT</t>
  </si>
  <si>
    <t>BEWEGING (XL);MR (XL);OMIM (XL)</t>
  </si>
  <si>
    <t>SLC17A5</t>
  </si>
  <si>
    <t>AST|ISSD|NSD|SD|SIALIN|SIASD|SLD</t>
  </si>
  <si>
    <t>SLC17A8</t>
  </si>
  <si>
    <t>DFNA25|VGLUT3</t>
  </si>
  <si>
    <t>SLC17A9</t>
  </si>
  <si>
    <t>C20orf59|POROK8|VNUT</t>
  </si>
  <si>
    <t>SLC18A2</t>
  </si>
  <si>
    <t>PKDYS2|SVAT|SVMT|VAT2|VMAT2</t>
  </si>
  <si>
    <t>SLC18A3</t>
  </si>
  <si>
    <t>CMS21|VACHT</t>
  </si>
  <si>
    <t>SLC19A2</t>
  </si>
  <si>
    <t>TC1|THMD1|THT1|THTR1|TRMA</t>
  </si>
  <si>
    <t>BMF (AR);DOOF (AR);IJZER (AR);OMIM (AR);OXPHOS (AR);PCS (AR)</t>
  </si>
  <si>
    <t>SLC19A3</t>
  </si>
  <si>
    <t>BBGD|THMD2|THTR2|thTr-2</t>
  </si>
  <si>
    <t>SLC1A1</t>
  </si>
  <si>
    <t>DCBXA|EAAC1|EAAT3|SCZD18</t>
  </si>
  <si>
    <t>SLC1A2</t>
  </si>
  <si>
    <t>DEE41|EAAT2|EIEE41|GLT-1|HBGT</t>
  </si>
  <si>
    <t>SLC1A3</t>
  </si>
  <si>
    <t>EA6|EAAT1|GLAST|GLAST1</t>
  </si>
  <si>
    <t>SLC1A4</t>
  </si>
  <si>
    <t>ASCT1|SATT|SPATCCM</t>
  </si>
  <si>
    <t>SLC20A2</t>
  </si>
  <si>
    <t>GLVR-2|GLVR2|IBGC1|IBGC2|IBGC3|MLVAR|PIT-2|PIT2|RAM1|Ram-1</t>
  </si>
  <si>
    <t>BEWEGING (AD);OMIM (AD);PARK (AD)</t>
  </si>
  <si>
    <t>SLC22A12</t>
  </si>
  <si>
    <t>OAT4L|RST|URAT1</t>
  </si>
  <si>
    <t>SLC22A18</t>
  </si>
  <si>
    <t>BWR1A|BWSCR1A|HET|IMPT1|ITM|ORCTL2|SLC22A1L|TSSC5|p45-BWR1A</t>
  </si>
  <si>
    <t>SLC22A4</t>
  </si>
  <si>
    <t>DFNB60|OCTN1</t>
  </si>
  <si>
    <t>SLC22A5</t>
  </si>
  <si>
    <t>CDSP|OCTN2</t>
  </si>
  <si>
    <t>SLC24A1</t>
  </si>
  <si>
    <t>CSNB1D|HsT17412|NCKX|NCKX1|RODX</t>
  </si>
  <si>
    <t>SLC24A4</t>
  </si>
  <si>
    <t>AI2A5|NCKX4|SHEP6|SLC24A2</t>
  </si>
  <si>
    <t>SLC24A5</t>
  </si>
  <si>
    <t>JSX|NCKX5|OCA6|SHEP4</t>
  </si>
  <si>
    <t>SLC25A1</t>
  </si>
  <si>
    <t>CMS23|CTP|D2L2AD|SEA|SLC20A3</t>
  </si>
  <si>
    <t>SLC25A10</t>
  </si>
  <si>
    <t>DIC|MTDPS19</t>
  </si>
  <si>
    <t>SLC25A11</t>
  </si>
  <si>
    <t>OGC|PGL6|SLC20A4</t>
  </si>
  <si>
    <t>SLC25A12</t>
  </si>
  <si>
    <t>AGC1|ARALAR|DEE39|EIEE39</t>
  </si>
  <si>
    <t>SLC25A13</t>
  </si>
  <si>
    <t>ARALAR2|CITRIN|CTLN2|NICCD</t>
  </si>
  <si>
    <t>SLC25A15</t>
  </si>
  <si>
    <t>D13S327|HHH|LNC-HC|ORC1|ORNT1</t>
  </si>
  <si>
    <t>SLC25A19</t>
  </si>
  <si>
    <t>DNC|MCPHA|MUP1|THMD3|THMD4|TPC</t>
  </si>
  <si>
    <t>HMSN (AD);METAB (AR);OMIM (AR;AD);OXPHOS (AR);PCS (AR)</t>
  </si>
  <si>
    <t>SLC25A20</t>
  </si>
  <si>
    <t>CAC|CACT</t>
  </si>
  <si>
    <t>SLC25A21</t>
  </si>
  <si>
    <t>MTDPS18|ODC|ODC1</t>
  </si>
  <si>
    <t>SLC25A22</t>
  </si>
  <si>
    <t>DEE3|EIEE3|GC-1|GC1|NET44</t>
  </si>
  <si>
    <t>SLC25A24</t>
  </si>
  <si>
    <t>APC1|SCAMC-1|SCAMC1</t>
  </si>
  <si>
    <t>LENGTE (AD);MR (AD);OMIM (AD);OXPHOS (AD)</t>
  </si>
  <si>
    <t>SLC25A26</t>
  </si>
  <si>
    <t>COXPD28|SAMC</t>
  </si>
  <si>
    <t>SLC25A3</t>
  </si>
  <si>
    <t>OK/SW-cl.48|PHC|PTP</t>
  </si>
  <si>
    <t>SLC25A32</t>
  </si>
  <si>
    <t>GLYB|MFT|MFTC|RREI</t>
  </si>
  <si>
    <t>SLC25A37</t>
  </si>
  <si>
    <t>HT015|MFRN|MFRN1|MSC|MSCP|PRO1278|PRO1584|PRO2217</t>
  </si>
  <si>
    <t>SLC25A38</t>
  </si>
  <si>
    <t>SIDBA2</t>
  </si>
  <si>
    <t>BMF (AR);IJZER (AR);METAB (AR);OMIM (AR);OXPHOS (AR);PCS (AR)</t>
  </si>
  <si>
    <t>SLC25A4</t>
  </si>
  <si>
    <t>AAC1|ANT|ANT 1|ANT1|MTDPS12|MTDPS12A|PEO2|PEO3|PEOA2|T1</t>
  </si>
  <si>
    <t>HART (AD,AR);OMIM (AD,AR);OXPHOS (AD);PCS (AR);SPIER (AD)</t>
  </si>
  <si>
    <t>SLC25A42</t>
  </si>
  <si>
    <t>MECREN</t>
  </si>
  <si>
    <t>SLC25A46</t>
  </si>
  <si>
    <t>HMSN6B</t>
  </si>
  <si>
    <t>BLIND (AR);HMSN (AR);OMIM (AR);OXPHOS (AR);PCS (AR)</t>
  </si>
  <si>
    <t>SLC26A1</t>
  </si>
  <si>
    <t>CAON|EDM4|SAT-1|SAT1</t>
  </si>
  <si>
    <t>SLC26A2</t>
  </si>
  <si>
    <t>D5S1708|DTD|DTDST|EDM4|MST153|MSTP157</t>
  </si>
  <si>
    <t>CFA (AR);DERM (AR);LENGTE (AR);OMIM (AR);PCS (AR);SCHISIS (AR)</t>
  </si>
  <si>
    <t>SLC26A3</t>
  </si>
  <si>
    <t>CLD|DRA</t>
  </si>
  <si>
    <t>SLC26A4</t>
  </si>
  <si>
    <t>DFNB4|EVA|PDS|TDH2B</t>
  </si>
  <si>
    <t>SLC26A5</t>
  </si>
  <si>
    <t>DFNB61|PRES</t>
  </si>
  <si>
    <t>SLC26A8</t>
  </si>
  <si>
    <t>SPGF3|TAT1</t>
  </si>
  <si>
    <t>SLC27A4</t>
  </si>
  <si>
    <t>ACSVL4|FATP4|IPS</t>
  </si>
  <si>
    <t>SLC28A1</t>
  </si>
  <si>
    <t>CNT1|HCNT1|URCTU</t>
  </si>
  <si>
    <t>SLC29A3</t>
  </si>
  <si>
    <t>ENT3|HCLAP|HJCD|PHID</t>
  </si>
  <si>
    <t>DERM (AR);DOOF (AR);IMMUUN (AR);LENGTE (AR);OMIM (AR);PCS (AR)</t>
  </si>
  <si>
    <t>SLC2A1</t>
  </si>
  <si>
    <t>CSE|DYT17|DYT18|DYT9|EIG12|GLUT|GLUT-1|GLUT1|GLUT1DS|HTLVR|PED|SDCHCN</t>
  </si>
  <si>
    <t>BEWEGING (AD);EPI (AD);METAB (AD,AR);MR (AD);OMIM (AD,AR);PCS (AR)</t>
  </si>
  <si>
    <t>SLC2A10</t>
  </si>
  <si>
    <t>ATORS|ATS|GLUT10</t>
  </si>
  <si>
    <t>SLC2A2</t>
  </si>
  <si>
    <t>GLUT2</t>
  </si>
  <si>
    <t>SLC2A9</t>
  </si>
  <si>
    <t>GLUT9|GLUTX|UAQTL2|URATv1</t>
  </si>
  <si>
    <t>METAB (AD,AR);NIER (AD);OMIM (AR;AD,AR);PCS (AR)</t>
  </si>
  <si>
    <t>SLC30A10</t>
  </si>
  <si>
    <t>HMDPC|HMNDYT1|ZNT10|ZNT8|ZRC1|ZnT-10</t>
  </si>
  <si>
    <t>BEWEGING (AR);METAB (AR);OMIM (AR);PARK (AR);PCS (AR)</t>
  </si>
  <si>
    <t>SLC30A2</t>
  </si>
  <si>
    <t>PP12488|TNZD|ZNT2|ZnT-2</t>
  </si>
  <si>
    <t>SLC30A9</t>
  </si>
  <si>
    <t>BILAPES|C4orf1|GAC63|HUEL|ZNT9</t>
  </si>
  <si>
    <t>SLC33A1</t>
  </si>
  <si>
    <t>ACATN|AT-1|AT1|CCHLND|SPG42</t>
  </si>
  <si>
    <t>BEWEGING (AD);BLIND (AR);DOOF (AR);METAB (AD);MR (AR);OMIM (AR;AD,AR);PCS (AR)</t>
  </si>
  <si>
    <t>SLC34A1</t>
  </si>
  <si>
    <t>FRTS2|HCINF2|NAPI-3|NPHLOP1|NPT2|NPTIIa|SLC11|SLC17A2</t>
  </si>
  <si>
    <t>SLC34A2</t>
  </si>
  <si>
    <t>NAPI-3B|NAPI-IIb|NPTIIb|PULAM</t>
  </si>
  <si>
    <t>SLC34A3</t>
  </si>
  <si>
    <t>HHRH|NPTIIc</t>
  </si>
  <si>
    <t>SLC35A1</t>
  </si>
  <si>
    <t>CDG2F|CMPST|CST|hCST</t>
  </si>
  <si>
    <t>SLC35A2</t>
  </si>
  <si>
    <t>CDG2M|CDGX|UDP-Gal-Tr|UGALT|UGAT|UGT|UGT1|UGT2|UGTL</t>
  </si>
  <si>
    <t>EPI (XL);METAB (AR);MR (XL);OMIM (UK,AR,AD,XL)</t>
  </si>
  <si>
    <t>SLC35A3</t>
  </si>
  <si>
    <t>AMRS</t>
  </si>
  <si>
    <t>SLC35C1</t>
  </si>
  <si>
    <t>CDG2C|FUCT1</t>
  </si>
  <si>
    <t>SLC35D1</t>
  </si>
  <si>
    <t>SHNKND|UGTREL7</t>
  </si>
  <si>
    <t>SLC36A2</t>
  </si>
  <si>
    <t>PAT2|TRAMD1</t>
  </si>
  <si>
    <t>NIER (AD);OMIM (AD;UK,AR,AD,XL)</t>
  </si>
  <si>
    <t>SLC37A4</t>
  </si>
  <si>
    <t>G6PT1|G6PT2|G6PT3|GSD1b|GSD1c|GSD1d|PRO0685|TRG-19|TRG19</t>
  </si>
  <si>
    <t>BMF (AR);IMMUUN (AR);METAB (AR);NIER (AR);OMIM (AR);PCS (AR)</t>
  </si>
  <si>
    <t>SLC38A8</t>
  </si>
  <si>
    <t>FVH2</t>
  </si>
  <si>
    <t>SLC39A13</t>
  </si>
  <si>
    <t>EDSSPD3|LZT-Hs9|SCDEDS|ZIP13</t>
  </si>
  <si>
    <t>SLC39A14</t>
  </si>
  <si>
    <t>HCIN|HMNDYT2|LZT-Hs4|NET34|ZIP14|cig19</t>
  </si>
  <si>
    <t>BEWEGING (AR);METAB (AR);MR (AR);OMIM (AR;AD,AR);PARK (AR);PCS (AR)</t>
  </si>
  <si>
    <t>SLC39A4</t>
  </si>
  <si>
    <t>AEZ|AWMS2|ZIP4</t>
  </si>
  <si>
    <t>DERM (AR);IMMUUN (AR);METAB (AR);OMIM (AR);PCS (AR)</t>
  </si>
  <si>
    <t>SLC39A5</t>
  </si>
  <si>
    <t>LZT-Hs7|MYP24|ZIP5</t>
  </si>
  <si>
    <t>SLC39A7</t>
  </si>
  <si>
    <t>D6S115E|D6S2244E|H2-KE4|HKE4|KE4|RING5|ZIP7</t>
  </si>
  <si>
    <t>SLC39A8</t>
  </si>
  <si>
    <t>BIGM103|CDG2N|LZT-Hs6|PP3105|ZIP8</t>
  </si>
  <si>
    <t>SLC3A1</t>
  </si>
  <si>
    <t>ATR1|CSNU1|D2H|NBAT|RBAT</t>
  </si>
  <si>
    <t>METAB (AR);NIER (AD,AR);OMIM (AR;AD,AR);PCS (AR)</t>
  </si>
  <si>
    <t>SLC40A1</t>
  </si>
  <si>
    <t>FPN1|HFE4|IREG1|MST079|MSTP079|MTP1|SLC11A3</t>
  </si>
  <si>
    <t>IJZER (AD);LEVER (AD);OMIM (AD)</t>
  </si>
  <si>
    <t>SLC41A1</t>
  </si>
  <si>
    <t>MgtE</t>
  </si>
  <si>
    <t>SLC44A1</t>
  </si>
  <si>
    <t>CD92|CDW92|CHTL1|CONATOC|CTL1</t>
  </si>
  <si>
    <t>SLC44A4</t>
  </si>
  <si>
    <t>C6orf29|CTL4|DFNA72|NG22|TPPT|hTPPT1</t>
  </si>
  <si>
    <t>SLC45A1</t>
  </si>
  <si>
    <t>DNB5|IDDNPF|PAST-A</t>
  </si>
  <si>
    <t>SLC45A2</t>
  </si>
  <si>
    <t>1A1|AIM1|MATP|OCA4|SHEP5</t>
  </si>
  <si>
    <t>BLIND (AR);DERM (AD,AR);OMIM (AR;UK,AR,AD,XL;AD,AR);PCS (AR)</t>
  </si>
  <si>
    <t>SLC46A1</t>
  </si>
  <si>
    <t>G21|HCP1|PCFT</t>
  </si>
  <si>
    <t>BMF (AR);IJZER (AR);IMMUUN (AR);METAB (AR);MR (AR);OMIM (AR);PCS (AR)</t>
  </si>
  <si>
    <t>SLC4A1</t>
  </si>
  <si>
    <t>AE1|BND3|CD233|CHC|DI|EMPB3|EPB3|FR|RTA1A|SAO|SPH4|SW|WD|WD1|WR</t>
  </si>
  <si>
    <t>SLC4A11</t>
  </si>
  <si>
    <t>BTR1|CDPD1|CHED|CHED2|NABC1|dJ794I6.2</t>
  </si>
  <si>
    <t>SLC4A4</t>
  </si>
  <si>
    <t>HNBC1|KNBC|NBC1|NBC2|NBCe1-A|SLC4A5|hhNMC|kNBC1|pNBC</t>
  </si>
  <si>
    <t>DERM (AD,AR);MR (AR);NIER (AR);OMIM (AR;AD,AR);PCS (AR)</t>
  </si>
  <si>
    <t>SLC52A1</t>
  </si>
  <si>
    <t>GPCR42|GPR172B|PAR2|RBFVD|RFT1|RFVT1|hRFT1|huPAR-2</t>
  </si>
  <si>
    <t>SLC52A2</t>
  </si>
  <si>
    <t>BVVLS2|D15Ertd747e|GPCR41|GPR172A|PAR1|RFT3|RFVT2|hRFT3</t>
  </si>
  <si>
    <t>BEWEGING (AR);BLIND (AR);DOOF (AR);HMSN (AR);METAB (AR);OMIM (AR);OXPHOS (AR);PCS (AR);SPIER (AR)</t>
  </si>
  <si>
    <t>SLC52A3</t>
  </si>
  <si>
    <t>BVVLS|BVVLS1|C20orf54|RFT2|RFVT3|bA371L19.1|hRFT2</t>
  </si>
  <si>
    <t>BEWEGING (AR);DOOF (AR);HMSN (AR);METAB (AR);OMIM (AR);OXPHOS (AR);PCS (AR);SPIER (AR)</t>
  </si>
  <si>
    <t>SLC5A1</t>
  </si>
  <si>
    <t>D22S675|NAGT|SGLT1</t>
  </si>
  <si>
    <t>SLC5A2</t>
  </si>
  <si>
    <t>SGLT2</t>
  </si>
  <si>
    <t>SLC5A5</t>
  </si>
  <si>
    <t>NIS|TDH1</t>
  </si>
  <si>
    <t>SLC5A6</t>
  </si>
  <si>
    <t>NERIB|SMVT</t>
  </si>
  <si>
    <t>SLC5A7</t>
  </si>
  <si>
    <t>CHT|CHT1|CMS20|HMN7A</t>
  </si>
  <si>
    <t>AKI (AR);HMSN (AD);OMIM (AR;AD,AR);PCS (AR)</t>
  </si>
  <si>
    <t>SLC6A1</t>
  </si>
  <si>
    <t>GABATHG|GABATR|GAT1|MAE</t>
  </si>
  <si>
    <t>SLC6A17</t>
  </si>
  <si>
    <t>MRT48|NTT4</t>
  </si>
  <si>
    <t>SLC6A19</t>
  </si>
  <si>
    <t>B0AT1|HND</t>
  </si>
  <si>
    <t>DERM (AR);METAB (AD,AR);MR (AD,AR);NIER (AD,AR);OMIM (AR;UK,AR,AD,XL;AD,AR);PCS (AR)</t>
  </si>
  <si>
    <t>SLC6A2</t>
  </si>
  <si>
    <t>NAT1|NET|NET1|SLC6A5</t>
  </si>
  <si>
    <t>SLC6A20</t>
  </si>
  <si>
    <t>IMINO|SIT1|XT3|Xtrp3</t>
  </si>
  <si>
    <t>SLC6A3</t>
  </si>
  <si>
    <t>DAT|DAT1|PKDYS|PKDYS1</t>
  </si>
  <si>
    <t>BEWEGING (AR);MR (AR);OMIM (AR);PARK (AR);PCS (AR)</t>
  </si>
  <si>
    <t>SLC6A5</t>
  </si>
  <si>
    <t>GLYT-2|GLYT2|HKPX3|NET1</t>
  </si>
  <si>
    <t>METAB (AD,AR);OMIM (AR;AD,AR);PCS (AR)</t>
  </si>
  <si>
    <t>SLC6A8</t>
  </si>
  <si>
    <t>CCDS1|CRT|CRTR|CT1|CTR5</t>
  </si>
  <si>
    <t>EPI (XL);METAB (XL);MR (XL);OMIM (XLR)</t>
  </si>
  <si>
    <t>SLC6A9</t>
  </si>
  <si>
    <t>GCENSG|GLYT1</t>
  </si>
  <si>
    <t>AKI (AR);METAB (AR);MR (AR);OMIM (AR);PCS (AR)</t>
  </si>
  <si>
    <t>SLC7A14</t>
  </si>
  <si>
    <t>PPP1R142</t>
  </si>
  <si>
    <t>SLC7A5</t>
  </si>
  <si>
    <t>4F2LC|CD98|D16S469E|E16|LAT1|MPE16</t>
  </si>
  <si>
    <t>SLC7A7</t>
  </si>
  <si>
    <t>LAT3|LPI|MOP-2|Y+LAT1|y+LAT-1</t>
  </si>
  <si>
    <t>DERM (AR);IMMUUN (AR);METAB (AR);MR (AR);NIER (AR);OMIM (AR);PCS (AR)</t>
  </si>
  <si>
    <t>SLC7A9</t>
  </si>
  <si>
    <t>BAT1|CSNU3</t>
  </si>
  <si>
    <t>METAB (AR);NIER (AD,AR);OMIM (AD,AR);PCS (AR)</t>
  </si>
  <si>
    <t>SLC8A1</t>
  </si>
  <si>
    <t>NCX1</t>
  </si>
  <si>
    <t>SLC9A1</t>
  </si>
  <si>
    <t>APNH|LIKNS|NHE-1|NHE1|PPP1R143</t>
  </si>
  <si>
    <t>SLC9A3</t>
  </si>
  <si>
    <t>DIAR8|NHE-3|NHE3</t>
  </si>
  <si>
    <t>SLC9A3R1</t>
  </si>
  <si>
    <t>EBP50|NHERF|NHERF-1|NHERF1|NPHLOP2</t>
  </si>
  <si>
    <t>SLC9A6</t>
  </si>
  <si>
    <t>MRSA|NHE6</t>
  </si>
  <si>
    <t>SLC9A7</t>
  </si>
  <si>
    <t>MRX108|NHE-7|NHE7|SLC9A6</t>
  </si>
  <si>
    <t>SLCO1B1</t>
  </si>
  <si>
    <t>HBLRR|LST-1|LST1|OATP-C|OATP1B1|OATP2|OATPC|SLC21A6</t>
  </si>
  <si>
    <t>SLCO1B3</t>
  </si>
  <si>
    <t>HBLRR|LST-2|LST-3TM13|LST3|OATP-8|OATP1B3|OATP8|SLC21A8</t>
  </si>
  <si>
    <t>SLCO2A1</t>
  </si>
  <si>
    <t>MATR1|OATP2A1|PGT|PHOAR2|SLC21A2</t>
  </si>
  <si>
    <t>DERM (AD,AR);LENGTE (AR);OMIM (AR;AD,AR);PCS (AR)</t>
  </si>
  <si>
    <t>SLCO5A1</t>
  </si>
  <si>
    <t>OATP-J|OATP-RP4|OATP5A1|OATPJ|OATPRP4|SLC21A15</t>
  </si>
  <si>
    <t>SLFN14</t>
  </si>
  <si>
    <t>BDPLT20</t>
  </si>
  <si>
    <t>SLIT3</t>
  </si>
  <si>
    <t>MEGF5|SLIL2|SLIT1|Slit-3|slit2</t>
  </si>
  <si>
    <t>SLITRK1</t>
  </si>
  <si>
    <t>LRRC12|TTM</t>
  </si>
  <si>
    <t>SLITRK6</t>
  </si>
  <si>
    <t>DFNMYP</t>
  </si>
  <si>
    <t>SLMAP</t>
  </si>
  <si>
    <t>SLAP</t>
  </si>
  <si>
    <t>SLN</t>
  </si>
  <si>
    <t>SLURP1</t>
  </si>
  <si>
    <t>ANUP|ARS|ArsB|LY6-MT|LY6LS|MDM</t>
  </si>
  <si>
    <t>SLX4</t>
  </si>
  <si>
    <t>BTBD12|FANCP|MUS312</t>
  </si>
  <si>
    <t>SMAD1</t>
  </si>
  <si>
    <t>BSP-1|BSP1|JV4-1|JV41|MADH1|MADR1</t>
  </si>
  <si>
    <t>SMAD2</t>
  </si>
  <si>
    <t>JV18|JV18-1|MADH2|MADR2|hMAD-2|hSMAD2</t>
  </si>
  <si>
    <t>ANEURYSM (AD);HART (AD);LENGTE (AD);OMIM (AD)</t>
  </si>
  <si>
    <t>SMAD3</t>
  </si>
  <si>
    <t>HSPC193|HsT17436|JV15-2|LDS1C|LDS3|MADH3</t>
  </si>
  <si>
    <t>ANEURYSM (AD);DERM (AD);HART (AD);LENGTE (AD);OMIM (AD);SCHISIS (AD)</t>
  </si>
  <si>
    <t>SMAD4</t>
  </si>
  <si>
    <t>DPC4|JIP|MADH4|MYHRS</t>
  </si>
  <si>
    <t>ANEURYSM (AD);HART (AD);LENGTE (AD);MR (AD);OMIM (AD);SCHISIS (AD);TUMOR (AD)</t>
  </si>
  <si>
    <t>SMAD6</t>
  </si>
  <si>
    <t>AOVD2|HsT17432|MADH6|MADH7</t>
  </si>
  <si>
    <t>ANEURYSM (AD);CFA (AD);CHD (AD);HART (AD);OMIM (AD)</t>
  </si>
  <si>
    <t>SMAD9</t>
  </si>
  <si>
    <t>MADH6|MADH9|PPH2|SMAD8|SMAD8/9|SMAD8A|SMAD8B</t>
  </si>
  <si>
    <t>HART (AD);OMIM (AD);TUMOR (AD)</t>
  </si>
  <si>
    <t>SMARCA1</t>
  </si>
  <si>
    <t>ISWI|NURF140|SNF2L|SNF2L1|SNF2LB|SNF2LT|SWI|SWI2|hSNF2L</t>
  </si>
  <si>
    <t>SMARCA2</t>
  </si>
  <si>
    <t>BAF190|BRM|NCBRS|SNF2|SNF2L2|SNF2LA|SWI2|Sth1p|hBRM|hSNF2a</t>
  </si>
  <si>
    <t>SMARCA4</t>
  </si>
  <si>
    <t>BAF190|BAF190A|BRG1|CSS4|MRD16|RTPS2|SNF2|SNF2-beta|SNF2L4|SNF2LB|SWI2|hSNF2b</t>
  </si>
  <si>
    <t>SMARCAD1</t>
  </si>
  <si>
    <t>ADERM|BASNS|ETL1|HEL1|HRZ</t>
  </si>
  <si>
    <t>SMARCAL1</t>
  </si>
  <si>
    <t>HARP|HHARP</t>
  </si>
  <si>
    <t>DERM (AR);IMMUUN (AR);LENGTE (AR);NIER (AR);OMIM (AR);PCS (AR)</t>
  </si>
  <si>
    <t>SMARCB1</t>
  </si>
  <si>
    <t>BAF47|CSS3|INI1|MRD15|PPP1R144|RDT|RTPS1|SNF5|SNF5L1|SWNTS1|Sfh1p|Snr1|hSNFS</t>
  </si>
  <si>
    <t>DERM (AD);HNPD (AD);LENGTE (AD);MR (AD);OMIM (AD);SHHM (AD);TUMOR (AD)</t>
  </si>
  <si>
    <t>SMARCC2</t>
  </si>
  <si>
    <t>BAF170|CRACC2|CSS8|Rsc8</t>
  </si>
  <si>
    <t>SMARCD1</t>
  </si>
  <si>
    <t>BAF60A|CRACD1|CSS11|Rsc6p</t>
  </si>
  <si>
    <t>SMARCD2</t>
  </si>
  <si>
    <t>BAF60B|CRACD2|PRO2451|Rsc6p|SGD2</t>
  </si>
  <si>
    <t>SMARCE1</t>
  </si>
  <si>
    <t>BAF57|CSS5</t>
  </si>
  <si>
    <t>SMC1A</t>
  </si>
  <si>
    <t>CDLS2|DEE85|DXS423E|EIEE85|SB1.8|SMC1|SMC1L1|SMC1alpha|SMCB</t>
  </si>
  <si>
    <t>CFA (XL);EPI (XL);LENGTE (XL);MR (XL);OMIM (XL);SCHISIS (XL)</t>
  </si>
  <si>
    <t>SMC3</t>
  </si>
  <si>
    <t>BAM|BMH|CDLS3|CSPG6|HCAP|SMC3L1</t>
  </si>
  <si>
    <t>SMCHD1</t>
  </si>
  <si>
    <t>BAMS|FSHD2</t>
  </si>
  <si>
    <t>OMIM (AD);SCHISIS (AD);SPIER (AD)</t>
  </si>
  <si>
    <t>SMDT1</t>
  </si>
  <si>
    <t>C22orf32|DDDD|EMRE</t>
  </si>
  <si>
    <t>BEWEGING (AR);OMIM (AR);SPIER (AR)</t>
  </si>
  <si>
    <t>SMG9</t>
  </si>
  <si>
    <t>C19orf61|F17127_1|HBMS</t>
  </si>
  <si>
    <t>SMN1</t>
  </si>
  <si>
    <t>BCD541|GEMIN1|SMA|SMA1|SMA2|SMA3|SMA4|SMA@|SMN|SMNT|T-BCD541|TDRD16A</t>
  </si>
  <si>
    <t>SMO</t>
  </si>
  <si>
    <t>CRJS|FZD11|Gx|PHLS|SMOH</t>
  </si>
  <si>
    <t>CFA (AD);DERM (AD);OMIM (AD;UK,AR,AD,XL)</t>
  </si>
  <si>
    <t>SMOC1</t>
  </si>
  <si>
    <t>OAS</t>
  </si>
  <si>
    <t>SMOC2</t>
  </si>
  <si>
    <t>DTDP1|MST117|MSTP117|MSTP140|SMAP2|bA270C4A.1|bA37D8.1|dJ421D16.1</t>
  </si>
  <si>
    <t>SMPD1</t>
  </si>
  <si>
    <t>ASM|ASMASE|NPD</t>
  </si>
  <si>
    <t>SMPD4</t>
  </si>
  <si>
    <t>NEDMABA|NEDMEBA|NET13|NSMASE-3|NSMASE3|SKNY</t>
  </si>
  <si>
    <t>AKI (AR);EPI (AR);MR (AR);OMIM (AR);PCS (AR)</t>
  </si>
  <si>
    <t>SMPX</t>
  </si>
  <si>
    <t>Chisel|Csl|DFN6|DFNX4</t>
  </si>
  <si>
    <t>DOOF (XL);OMIM (XL)</t>
  </si>
  <si>
    <t>SMS</t>
  </si>
  <si>
    <t>MRSR|SPMSY|SRS|SpS</t>
  </si>
  <si>
    <t>EPI (XL);METAB (XL);MR (XL);OMIM (XLR);SCHISIS (XLR)</t>
  </si>
  <si>
    <t>SMYD2</t>
  </si>
  <si>
    <t>HSKM-B|KMT3C|ZMYND14</t>
  </si>
  <si>
    <t>SNAI2</t>
  </si>
  <si>
    <t>SLUG|SLUGH|SLUGH1|SNAIL2|WS2D</t>
  </si>
  <si>
    <t>CFA (AR);DERM (AR);DOOF (AD,AR);OMIM (AD,AR);PCS (AR)</t>
  </si>
  <si>
    <t>SNAP25</t>
  </si>
  <si>
    <t>CMS18|RIC-4|RIC4|SEC9|SNAP|SNAP-25|SUP|bA416N4.2|dJ1068F16.2</t>
  </si>
  <si>
    <t>SNAP29</t>
  </si>
  <si>
    <t>CEDNIK|SNAP-29</t>
  </si>
  <si>
    <t>SNCA</t>
  </si>
  <si>
    <t>NACP|PARK1|PARK4|PD1</t>
  </si>
  <si>
    <t>SNCB</t>
  </si>
  <si>
    <t>SNIP1</t>
  </si>
  <si>
    <t>PML1|PMRED</t>
  </si>
  <si>
    <t>SNORA31</t>
  </si>
  <si>
    <t>ACA31|SNORA31A</t>
  </si>
  <si>
    <t>SNORD118</t>
  </si>
  <si>
    <t>LCC|U8</t>
  </si>
  <si>
    <t>SNRNP200</t>
  </si>
  <si>
    <t>ASCC3L1|BRR2|HELIC2|RP33|U5-200KD</t>
  </si>
  <si>
    <t>SNRPB</t>
  </si>
  <si>
    <t>CCMS|COD|SNRPB1|Sm-B/B'|SmB/B'|SmB/SmB'|snRNP-B</t>
  </si>
  <si>
    <t>LENGTE (AD);MR (AD);OMIM (AD);SCHISIS (AD)</t>
  </si>
  <si>
    <t>SNRPE</t>
  </si>
  <si>
    <t>HYPT11|SME|Sm-E|snRNP-E</t>
  </si>
  <si>
    <t>SNRPN</t>
  </si>
  <si>
    <t>HCERN3|PWCR|RT-LI|SM-D|SMN|SNRNP-N|SNURF-SNRPN|sm-N</t>
  </si>
  <si>
    <t>SNTA1</t>
  </si>
  <si>
    <t>LQT12|SNT1|TACIP1|dJ1187J4.5</t>
  </si>
  <si>
    <t>SNX10</t>
  </si>
  <si>
    <t>OPTB8</t>
  </si>
  <si>
    <t>SNX14</t>
  </si>
  <si>
    <t>RGS-PX2|SCAR20</t>
  </si>
  <si>
    <t>SNX27</t>
  </si>
  <si>
    <t>MRT1|MY014</t>
  </si>
  <si>
    <t>SOBP</t>
  </si>
  <si>
    <t>JXC1|MRAMS</t>
  </si>
  <si>
    <t>SOCS1</t>
  </si>
  <si>
    <t>CIS1|CISH1|JAB|SOCS-1|SSI-1|SSI1|TIP-3|TIP3</t>
  </si>
  <si>
    <t>SOCS4</t>
  </si>
  <si>
    <t>SOCS7</t>
  </si>
  <si>
    <t>SOD1</t>
  </si>
  <si>
    <t>ALS|ALS1|HEL-S-44|IPOA|SOD|STAHP|hSod1|homodimer</t>
  </si>
  <si>
    <t>ALS (AD,AR);METAB (AR);OMIM (AR;AD,AR);PCS (AR)</t>
  </si>
  <si>
    <t>SOD2</t>
  </si>
  <si>
    <t>GClnc1|IPO-B|IPOB|MNSOD|MVCD6|Mn-SOD</t>
  </si>
  <si>
    <t>HART (AR);METAB (AR);OMIM (AR);OXPHOS (AR)</t>
  </si>
  <si>
    <t>SOHLH1</t>
  </si>
  <si>
    <t>C9orf157|NOHLH|ODG5|SPATA27|SPGF32|TEB2|bA100C15.3|bHLHe80</t>
  </si>
  <si>
    <t>DSD (AR);OMIM (AR;AD,AR)</t>
  </si>
  <si>
    <t>SON</t>
  </si>
  <si>
    <t>BASS1|C21orf50|DBP-5|NREBP|SON3|TOKIMS</t>
  </si>
  <si>
    <t>SORD</t>
  </si>
  <si>
    <t>HEL-S-95n|RDH|SDH|SORD1|SORDD|XDH</t>
  </si>
  <si>
    <t>SORT1</t>
  </si>
  <si>
    <t>Gp95|LDLCQ6|NT3|NTR3</t>
  </si>
  <si>
    <t>SOS1</t>
  </si>
  <si>
    <t>GF1|GGF1|GINGF|HGF|NS4|SOS-1</t>
  </si>
  <si>
    <t>ANEURYSM (AD);BMF (AD);CHD (AD);DERM (AR);HART (AD);HEMOS (AD);LENGTE (AD);MR (AD);OMIM (AD;AR);RAS (AD);TUMOR (AD)</t>
  </si>
  <si>
    <t>SOS2</t>
  </si>
  <si>
    <t>NS9|SOS-2</t>
  </si>
  <si>
    <t>HEMOS (AD);LENGTE (AD);MR (AD);OMIM (AD);RAS (AD)</t>
  </si>
  <si>
    <t>SOST</t>
  </si>
  <si>
    <t>CDD|DAND6|SOST1|VBCH</t>
  </si>
  <si>
    <t>ANEURYSM (AD);LENGTE (AD,AR);OMIM (AR;AD,AR);PCS (AR)</t>
  </si>
  <si>
    <t>SOX10</t>
  </si>
  <si>
    <t>DOM|PCWH|WS2E|WS4|WS4C</t>
  </si>
  <si>
    <t>BEWEGING (AD);CFA (AD);DERM (AD);DOOF (AD);DSD (AD);HH (AD);HMSN (AD);MR (AD);OMIM (AD)</t>
  </si>
  <si>
    <t>SOX11</t>
  </si>
  <si>
    <t>CSS9|MRD27</t>
  </si>
  <si>
    <t>SOX17</t>
  </si>
  <si>
    <t>VUR3</t>
  </si>
  <si>
    <t>ANEURYSM (AD);NIER (AD);OMIM (AD)</t>
  </si>
  <si>
    <t>SOX18</t>
  </si>
  <si>
    <t>HLTRS|HLTS</t>
  </si>
  <si>
    <t>SOX2</t>
  </si>
  <si>
    <t>ANOP3|MCOPS3</t>
  </si>
  <si>
    <t>BLIND (AD);DERM (AD);DSD (AD);HH (AD);LENGTE (AD);MR (AD);OMIM (AD)</t>
  </si>
  <si>
    <t>SOX3</t>
  </si>
  <si>
    <t>GHDX|MRGH|PHP|PHPX|SOXB</t>
  </si>
  <si>
    <t>DSD (XL);LENGTE (XL);MR (XL);OMIM (XL)</t>
  </si>
  <si>
    <t>SOX4</t>
  </si>
  <si>
    <t>CSS10|EVI16</t>
  </si>
  <si>
    <t>SOX5</t>
  </si>
  <si>
    <t>L-SOX5|L-SOX5B|L-SOX5F|LAMSHF</t>
  </si>
  <si>
    <t>SOX6</t>
  </si>
  <si>
    <t>HSSOX6|SOXD|TOLCAS</t>
  </si>
  <si>
    <t>SOX9</t>
  </si>
  <si>
    <t>CMD1|CMPD1|SRA1|SRXX2|SRXY10</t>
  </si>
  <si>
    <t>CFA (AD);DSD (AD);LENGTE (AD);OMIM (AD);SCHISIS (AD)</t>
  </si>
  <si>
    <t>SP110</t>
  </si>
  <si>
    <t>IFI41|IFI75|IPR1|VODI</t>
  </si>
  <si>
    <t>SP7</t>
  </si>
  <si>
    <t>OI11|OI12|OSX|osterix</t>
  </si>
  <si>
    <t>SPAG1</t>
  </si>
  <si>
    <t>CILD28|CT140|DNAAF13|HEL-S-268|HSD-3.8|SP75|TPIS</t>
  </si>
  <si>
    <t>SPARC</t>
  </si>
  <si>
    <t>BM-40|OI17|ON|ONT</t>
  </si>
  <si>
    <t>SPART</t>
  </si>
  <si>
    <t>SPG20|TAHCCP1</t>
  </si>
  <si>
    <t>SPAST</t>
  </si>
  <si>
    <t>ADPSP|FSP2|SPG4</t>
  </si>
  <si>
    <t>SPATA16</t>
  </si>
  <si>
    <t>NYD-SP12|SPGF6</t>
  </si>
  <si>
    <t>SPATA5</t>
  </si>
  <si>
    <t>AFG2|EHLMRS|SPAF</t>
  </si>
  <si>
    <t>DOOF (AR);EPI (AR);MR (AR);OMIM (AR);OXPHOS (AR);PCS (AR)</t>
  </si>
  <si>
    <t>SPATA7</t>
  </si>
  <si>
    <t>HEL-S-296|HSD-3.1|HSD3|LCA3</t>
  </si>
  <si>
    <t>BLIND (AR);CILIO (AR);OMIM (AR;UK,AR,AD,XL);PCS (AR)</t>
  </si>
  <si>
    <t>SPECC1L</t>
  </si>
  <si>
    <t>CYTSA|GBBB2|OBLFC1|TBHS</t>
  </si>
  <si>
    <t>SPEG</t>
  </si>
  <si>
    <t>APEG-1|APEG1|BPEG|CNM5|MYLK6|SPEGalpha|SPEGbeta</t>
  </si>
  <si>
    <t>SPG11</t>
  </si>
  <si>
    <t>ALS5|CMT2X|KIAA1840</t>
  </si>
  <si>
    <t>ALS (AR);BEWEGING (AR);HMSN (AR);MR (AR);OMIM (AR);PCS (AR)</t>
  </si>
  <si>
    <t>SPG21</t>
  </si>
  <si>
    <t>ABHD21|ACP33|BM-019|GL010|MAST</t>
  </si>
  <si>
    <t>SPG7</t>
  </si>
  <si>
    <t>CAR|CMAR|PGN|SPG5C</t>
  </si>
  <si>
    <t>BEWEGING (AR);OMIM (AD,AR);OXPHOS (AR);PCS (AR)</t>
  </si>
  <si>
    <t>SPINK1</t>
  </si>
  <si>
    <t>PCTT|PSTI|Spink3|TATI|TCP</t>
  </si>
  <si>
    <t>OMIM (AD,AR);TUMOR (AD)</t>
  </si>
  <si>
    <t>SPINK2</t>
  </si>
  <si>
    <t>HUSI-II|SPGF29</t>
  </si>
  <si>
    <t>SPINK5</t>
  </si>
  <si>
    <t>LEKTI|LETKI|NETS|NS|VAKTI</t>
  </si>
  <si>
    <t>SPINT2</t>
  </si>
  <si>
    <t>DIAR3|HAI-2|HAI2|Kop|PB</t>
  </si>
  <si>
    <t>DERM (AD);OMIM (AR;AD);PCS (AR)</t>
  </si>
  <si>
    <t>SPNS2</t>
  </si>
  <si>
    <t>DFNB115|SLC62A2|SLC63A2</t>
  </si>
  <si>
    <t>SPOCK1</t>
  </si>
  <si>
    <t>SPOCK|TESTICAN|TIC1</t>
  </si>
  <si>
    <t>SPOP</t>
  </si>
  <si>
    <t>BTBD32|NEDMACE|NEDMIDF|NSDVS1|NSDVS2|TEF2</t>
  </si>
  <si>
    <t>SPP2</t>
  </si>
  <si>
    <t>SPP-24|SPP24</t>
  </si>
  <si>
    <t>SPPL2A</t>
  </si>
  <si>
    <t>IMP3|PSL2</t>
  </si>
  <si>
    <t>SPR</t>
  </si>
  <si>
    <t>SDR38C1</t>
  </si>
  <si>
    <t>BEWEGING (AR);LENGTE (AD,AR);METAB (AR);MR (AR);OMIM (AR;UK,AR,AD,XL;AD,AR);PCS (AR)</t>
  </si>
  <si>
    <t>SPRED1</t>
  </si>
  <si>
    <t>LGSS|NFLS|PPP1R147|hSpred1|spred-1</t>
  </si>
  <si>
    <t>DERM (AD);LENGTE (AD);MR (AD);OMIM (AD);RAS (AD);TUMOR (AD)</t>
  </si>
  <si>
    <t>SPRTN</t>
  </si>
  <si>
    <t>C1orf124|DVC1|PRO4323|spartan</t>
  </si>
  <si>
    <t>SPRY4</t>
  </si>
  <si>
    <t>HH17</t>
  </si>
  <si>
    <t>SPTA1</t>
  </si>
  <si>
    <t>EL2|HPP|HS3|SPH3|SPTA</t>
  </si>
  <si>
    <t>SPTAN1</t>
  </si>
  <si>
    <t>DEE5|EIEE5|NEAS|SPTA2</t>
  </si>
  <si>
    <t>EPI (AD);HMSN (AD);MR (AD);OMIM (AD)</t>
  </si>
  <si>
    <t>SPTB</t>
  </si>
  <si>
    <t>EL3|HS2|HSPTB1|SPH2</t>
  </si>
  <si>
    <t>OMIM (AD;AR);PCS (AR)</t>
  </si>
  <si>
    <t>SPTBN2</t>
  </si>
  <si>
    <t>GTRAP41|SCA5|SCAR14</t>
  </si>
  <si>
    <t>BEWEGING (AD);MR (AR);OMIM (AR;AD,AR);PCS (AR)</t>
  </si>
  <si>
    <t>SPTBN4</t>
  </si>
  <si>
    <t>CMND|NEDHND|QV|SPNB4|SPTBN3</t>
  </si>
  <si>
    <t>HMSN (AR);MR (AR);OMIM (AR);PCS (AR)</t>
  </si>
  <si>
    <t>SPTLC1</t>
  </si>
  <si>
    <t>HSAN1|HSN1|LBC1|LCB1|SPT1|SPTI</t>
  </si>
  <si>
    <t>HMSN (AD);HNPD (AD);METAB (AD);OMIM (AD)</t>
  </si>
  <si>
    <t>SPTLC2</t>
  </si>
  <si>
    <t>HSN1C|LCB2|LCB2A|NSAN1C|SPT2|hLCB2a</t>
  </si>
  <si>
    <t>SPTLC3</t>
  </si>
  <si>
    <t>C20orf38|LCB 3|LCB2B|LCB3|SPT 3|SPT3|SPTLC2L|dJ718P11|dJ718P11.1|hLCB2b</t>
  </si>
  <si>
    <t>SQOR</t>
  </si>
  <si>
    <t>CGI-44|PRO1975|SQR|SQRDL</t>
  </si>
  <si>
    <t>SQSTM1</t>
  </si>
  <si>
    <t>A170|DMRV|FTDALS3|NADGP|OSIL|PDB3|ZIP3|p60|p62|p62B</t>
  </si>
  <si>
    <t>ALS (AD);OMIM (AD,AR);OXPHOS (AR);PCS (AR);TUMOR (AD)</t>
  </si>
  <si>
    <t>SRC</t>
  </si>
  <si>
    <t>ASV|SRC1|THC6|c-SRC|p60-Src</t>
  </si>
  <si>
    <t>SRCAP</t>
  </si>
  <si>
    <t>DOMO1|EAF1|FLHS|SWR1</t>
  </si>
  <si>
    <t>DSD (AD);LENGTE (AD);MR (AD);OMIM (AD)</t>
  </si>
  <si>
    <t>SRD5A2</t>
  </si>
  <si>
    <t>SRD5A3</t>
  </si>
  <si>
    <t>CDG1P|CDG1Q|KRIZI|SRD5A2L|SRD5A2L1</t>
  </si>
  <si>
    <t>SRF</t>
  </si>
  <si>
    <t>MCM1</t>
  </si>
  <si>
    <t>SRI</t>
  </si>
  <si>
    <t>CP-22|CP22|SCN|V19</t>
  </si>
  <si>
    <t>SRP54</t>
  </si>
  <si>
    <t>SCN8</t>
  </si>
  <si>
    <t>BMF (AD);IMMUUN (AD);LENGTE (AD);OMIM (AD)</t>
  </si>
  <si>
    <t>SRP72</t>
  </si>
  <si>
    <t>BMFF|BMFS1|HEL103</t>
  </si>
  <si>
    <t>SRPK3</t>
  </si>
  <si>
    <t>MSSK-1|MSSK1|STK23</t>
  </si>
  <si>
    <t>SRPX2</t>
  </si>
  <si>
    <t>BPP|CBPS|PMGX|RESDX|SRPUL</t>
  </si>
  <si>
    <t>MR (XL);OMIM (XL;UK,AR,AD,XL)</t>
  </si>
  <si>
    <t>SRY</t>
  </si>
  <si>
    <t>SRXX1|SRXY1|TDF|TDY</t>
  </si>
  <si>
    <t>DSD (XL);OMIM (XL;UK,AR,AD,XL)</t>
  </si>
  <si>
    <t>SSBP1</t>
  </si>
  <si>
    <t>Mt-SSB|OPA13|SOSS-B1|SSBP|mtSSB</t>
  </si>
  <si>
    <t>SSR4</t>
  </si>
  <si>
    <t>CDG1Y|TRAPD</t>
  </si>
  <si>
    <t>METAB (AR);MR (XL);OMIM (AR;XLR)</t>
  </si>
  <si>
    <t>SSTR5</t>
  </si>
  <si>
    <t>SS-5-R</t>
  </si>
  <si>
    <t>SSX1</t>
  </si>
  <si>
    <t>CT5.1|SSRC</t>
  </si>
  <si>
    <t>SSX2</t>
  </si>
  <si>
    <t>CT5.2|CT5.2A|HD21|HOM-MEL-40|SSX</t>
  </si>
  <si>
    <t>ST14</t>
  </si>
  <si>
    <t>ARCI11|CAP3|HAI|MT-SP1|MTSP1|PRSS14|SNC19|TADG15|TMPRSS14</t>
  </si>
  <si>
    <t>ST3GAL3</t>
  </si>
  <si>
    <t>DEE15|EIEE15|MRT12|SIAT6|ST3GALII|ST3Gal III|ST3GalIII|ST3N</t>
  </si>
  <si>
    <t>ST3GAL5</t>
  </si>
  <si>
    <t>SATI|SIAT9|SIATGM3S|SPDRS|ST3Gal V|ST3GalV</t>
  </si>
  <si>
    <t>STAB2</t>
  </si>
  <si>
    <t>FEEL2|FELE-2|FELL2|FEX2|HARE|SCARH1</t>
  </si>
  <si>
    <t>STAC3</t>
  </si>
  <si>
    <t>MYPBB|NAM</t>
  </si>
  <si>
    <t>AKI (AR);OMIM (AR);OXPHOS (AR);PCS (AR);SCHISIS (AR)</t>
  </si>
  <si>
    <t>STAG1</t>
  </si>
  <si>
    <t>MRD47|SA1|SCC3A</t>
  </si>
  <si>
    <t>STAG2</t>
  </si>
  <si>
    <t>HPE13|MKMS|NEDXCF|SA-2|SA2|SCC3B|bA517O1.1</t>
  </si>
  <si>
    <t>STAG3</t>
  </si>
  <si>
    <t>STAMBP</t>
  </si>
  <si>
    <t>AMSH|MICCAP</t>
  </si>
  <si>
    <t>DERM (AR);MR (AR);OMIM (AR);PCS (AR);SCHISIS (AR)</t>
  </si>
  <si>
    <t>STAR</t>
  </si>
  <si>
    <t>STARD1</t>
  </si>
  <si>
    <t>STARD13</t>
  </si>
  <si>
    <t>ARHGAP37|DLC2|GT650|LINC00464</t>
  </si>
  <si>
    <t>STARD7</t>
  </si>
  <si>
    <t>FAME2|GTT1</t>
  </si>
  <si>
    <t>STAT1</t>
  </si>
  <si>
    <t>CANDF7|IMD31A|IMD31B|IMD31C|ISGF-3|STAT91</t>
  </si>
  <si>
    <t>STAT2</t>
  </si>
  <si>
    <t>IMD44|ISGF-3|P113|PTORCH3|STAT113</t>
  </si>
  <si>
    <t>IMMUUN (AR);OMIM (AR);OXPHOS (AR);PCS (AR)</t>
  </si>
  <si>
    <t>STAT3</t>
  </si>
  <si>
    <t>ADMIO|ADMIO1|APRF|HIES</t>
  </si>
  <si>
    <t>DERM (AD);IMMUUN (AD);LENGTE (AD);OMIM (AD)</t>
  </si>
  <si>
    <t>STAT4</t>
  </si>
  <si>
    <t>SLEB11</t>
  </si>
  <si>
    <t>STAT5B</t>
  </si>
  <si>
    <t>GHISID2|STAT5</t>
  </si>
  <si>
    <t>DERM (AR);IMMUUN (AD,AR);LENGTE (AD,AR);OMIM (AR;AD,AR;UK,AR,AD,XL);PCS (AR)</t>
  </si>
  <si>
    <t>STAT6</t>
  </si>
  <si>
    <t>D12S1644|IL-4-STAT|STAT6B|STAT6C</t>
  </si>
  <si>
    <t>STEAP3</t>
  </si>
  <si>
    <t>AHMIO2|STMP3|TSAP6|dudlin-2|dudulin-2|pHyde</t>
  </si>
  <si>
    <t>IJZER (AD,AR);OMIM (AD;AD,AR)</t>
  </si>
  <si>
    <t>STEEP1</t>
  </si>
  <si>
    <t>CXorf56|MRX107</t>
  </si>
  <si>
    <t>CXorf56</t>
  </si>
  <si>
    <t>STIL</t>
  </si>
  <si>
    <t>MCPH7|SIL</t>
  </si>
  <si>
    <t>STIM1</t>
  </si>
  <si>
    <t>D11S4896E|GOK|IMD10|STRMK|TAM|TAM1</t>
  </si>
  <si>
    <t>BMF (AD,AR);DERM (AR);HEMOS (AD);IMMUUN (AR);OMIM (AD,AR);PCS (AR);SPIER (AD)</t>
  </si>
  <si>
    <t>STING1</t>
  </si>
  <si>
    <t>ERIS|MITA|MPYS|NET23|SAVI|STING|STING-beta|TMEM173|hMITA|hSTING</t>
  </si>
  <si>
    <t>STK11</t>
  </si>
  <si>
    <t>LKB1|PJS|hLKB1</t>
  </si>
  <si>
    <t>BRSTKNK (AD);DERM (AD);OMIM (AD);TUMOR (AD)</t>
  </si>
  <si>
    <t>STK36</t>
  </si>
  <si>
    <t>FU</t>
  </si>
  <si>
    <t>STK4</t>
  </si>
  <si>
    <t>KRS2|MST1|YSK3</t>
  </si>
  <si>
    <t>STN1</t>
  </si>
  <si>
    <t>AAF-44|AAF44|OBFC1|RPA-32|bA541N10.2</t>
  </si>
  <si>
    <t>BMF (AR);LEVER (AR);OMIM (AR);PCS (AR)</t>
  </si>
  <si>
    <t>STOX1</t>
  </si>
  <si>
    <t>C10orf24</t>
  </si>
  <si>
    <t>STRA6</t>
  </si>
  <si>
    <t>MCOPCB8|MCOPS9|PP14296</t>
  </si>
  <si>
    <t>BLIND (AR);MR (AR);NIER (AR);OMIM (AR);PCS (AR)</t>
  </si>
  <si>
    <t>STRADA</t>
  </si>
  <si>
    <t>LYK5|NY-BR-96|PMSE|STRAD|STRAD alpha|Stlk</t>
  </si>
  <si>
    <t>STRC</t>
  </si>
  <si>
    <t>DFNB16</t>
  </si>
  <si>
    <t>STS</t>
  </si>
  <si>
    <t>ARSC|ARSC1|ASC|ES|SSDD|XLI</t>
  </si>
  <si>
    <t>DERM (XL);METAB (XL);OMIM (XL;XLR)</t>
  </si>
  <si>
    <t>STT3A</t>
  </si>
  <si>
    <t>ITM1|STT3-A|TMC</t>
  </si>
  <si>
    <t>STT3B</t>
  </si>
  <si>
    <t>CDG1X|SIMP|STT3-B</t>
  </si>
  <si>
    <t>STUB1</t>
  </si>
  <si>
    <t>CHIP|HSPABP2|NY-CO-7|SCA48|SCAR16|SDCCAG7|UBOX1</t>
  </si>
  <si>
    <t>BEWEGING (AR);OMIM (AR;AD,AR);PCS (AR)</t>
  </si>
  <si>
    <t>STX11</t>
  </si>
  <si>
    <t>FHL4|HLH4|HPLH4</t>
  </si>
  <si>
    <t>STX16</t>
  </si>
  <si>
    <t>SYN16</t>
  </si>
  <si>
    <t>STX1B</t>
  </si>
  <si>
    <t>GEFSP9|STX1B1|STX1B2</t>
  </si>
  <si>
    <t>STX5</t>
  </si>
  <si>
    <t>SED5|STX5A</t>
  </si>
  <si>
    <t>STXBP1</t>
  </si>
  <si>
    <t>DEE4|MUNC18-1|N-Sec1|NSEC1|P67|RBSEC1|UNC18|unc-18A|unc18-1</t>
  </si>
  <si>
    <t>EPI (AD);MR (AD);OMIM (AD);OXPHOS (AD)</t>
  </si>
  <si>
    <t>STXBP2</t>
  </si>
  <si>
    <t>FHL5|Hunc18b|MUNC18-2|UNC18-2|UNC18B|pp10122</t>
  </si>
  <si>
    <t>HEMOS (AD,AR);IMMUUN (AR);OMIM (AR;AD,AR;UK,AR,AD,XL);PCS (AR)</t>
  </si>
  <si>
    <t>SUCLA2</t>
  </si>
  <si>
    <t>A-BETA|A-SCS|LINC00444|MTDPS5|SCS-betaA</t>
  </si>
  <si>
    <t>DOOF (AR);METAB (AR);MR (AR);OMIM (AR);OXPHOS (AR);PCS (AR)</t>
  </si>
  <si>
    <t>SUCLG1</t>
  </si>
  <si>
    <t>GALPHA|MTDPS9|SUCLA1</t>
  </si>
  <si>
    <t>SUCLG2</t>
  </si>
  <si>
    <t>G-SCS|GBETA|GTPSCS</t>
  </si>
  <si>
    <t>SUFU</t>
  </si>
  <si>
    <t>JBTS32|PRO1280|SUFUH|SUFUXL</t>
  </si>
  <si>
    <t>DERM (AD);OMIM (AR;UK,AR,AD,XL);PCS (AR);SHHM (AD);TUMOR (AD)</t>
  </si>
  <si>
    <t>SUGCT</t>
  </si>
  <si>
    <t>C7orf10|DERP13|GA3|ORF19</t>
  </si>
  <si>
    <t>SULF1</t>
  </si>
  <si>
    <t>SULF-1</t>
  </si>
  <si>
    <t>SULT2B1</t>
  </si>
  <si>
    <t>ARCI14|HSST2</t>
  </si>
  <si>
    <t>SUMF1</t>
  </si>
  <si>
    <t>AAPA3037|FGE|UNQ3037</t>
  </si>
  <si>
    <t>SUMO1</t>
  </si>
  <si>
    <t>DAP1|GMP1|OFC10|PIC1|SENP2|SMT3|SMT3C|SMT3H3|UBL1</t>
  </si>
  <si>
    <t>CFA (AD);OMIM (AD;UK,AR,AD,XL)</t>
  </si>
  <si>
    <t>SUN5</t>
  </si>
  <si>
    <t>SPAG4L|SPGF16|TSARG4|dJ726C3.1</t>
  </si>
  <si>
    <t>SUOX</t>
  </si>
  <si>
    <t>SUPT16H</t>
  </si>
  <si>
    <t>CDC68|FACTP140|SPT16|SPT16/CDC68</t>
  </si>
  <si>
    <t>SURF1</t>
  </si>
  <si>
    <t>CMT4K|MC4DN1|SHY1</t>
  </si>
  <si>
    <t>HMSN (AR);MR (AR);OMIM (UK,AR,AD,XL);OXPHOS (AR);PCS (AR)</t>
  </si>
  <si>
    <t>SUZ12</t>
  </si>
  <si>
    <t>CHET9|IMMAS|JJAZ1</t>
  </si>
  <si>
    <t>SVBP</t>
  </si>
  <si>
    <t>CCDC23|NEDAHM</t>
  </si>
  <si>
    <t>SYCE1</t>
  </si>
  <si>
    <t>C10orf94|CT76|POF12|SPGF15</t>
  </si>
  <si>
    <t>SYCP3</t>
  </si>
  <si>
    <t>COR1|RPRGL4|SCP3|SPGF4</t>
  </si>
  <si>
    <t>SYN1</t>
  </si>
  <si>
    <t>EPILX|MRX50|SYN1a|SYN1b|SYNI</t>
  </si>
  <si>
    <t>SYNCRIP</t>
  </si>
  <si>
    <t>GRY-RBP|GRYRBP|HNRNPQ|HNRPQ1|NSAP1|PP68|hnRNP-Q</t>
  </si>
  <si>
    <t>SYNE1</t>
  </si>
  <si>
    <t>8B|AMC3|AMCM|ARCA1|C6orf98|CPG2|EDMD4|KASH1|MYNE1|Nesp1|SCAR8|dJ45H2.2</t>
  </si>
  <si>
    <t>AKI (AR);BEWEGING (AR);HART (AD,AR);OMIM (AR;AD,AR);PCS (AR)</t>
  </si>
  <si>
    <t>SYNE2</t>
  </si>
  <si>
    <t>EDMD5|KASH2|NUA|NUANCE|Nesp2|Nesprin-2|SYNE-2|TROPH</t>
  </si>
  <si>
    <t>SYNE4</t>
  </si>
  <si>
    <t>C19orf46|DFNB76|KASH4|Nesp4</t>
  </si>
  <si>
    <t>SYNGAP1</t>
  </si>
  <si>
    <t>MRD5|RASA1|RASA5|SYNGAP</t>
  </si>
  <si>
    <t>SYNJ1</t>
  </si>
  <si>
    <t>DEE53|EIEE53|INPP5G|PARK20</t>
  </si>
  <si>
    <t>SYP</t>
  </si>
  <si>
    <t>MRX96|MRXSYP</t>
  </si>
  <si>
    <t>SYT1</t>
  </si>
  <si>
    <t>BAGOS|P65|SVP65|SYT</t>
  </si>
  <si>
    <t>SYT14</t>
  </si>
  <si>
    <t>SCAR11|sytXIV</t>
  </si>
  <si>
    <t>SYT2</t>
  </si>
  <si>
    <t>CMS7|MYSPC|SytII</t>
  </si>
  <si>
    <t>HMSN (AD);OMIM (AD;AR);SPIER (AR)</t>
  </si>
  <si>
    <t>SZT2</t>
  </si>
  <si>
    <t>C1orf84|DEE18|EIEE18|KIAA0467|KICS1|SZT2A|SZT2B</t>
  </si>
  <si>
    <t>TAB2</t>
  </si>
  <si>
    <t>CHTD2|MAP3K7IP2|TAB-2</t>
  </si>
  <si>
    <t>CHD (AD);HART (AD);LENGTE (AD);OMIM (AD)</t>
  </si>
  <si>
    <t>TAC3</t>
  </si>
  <si>
    <t>HH10|LncZBTB39|NK3|NKB|NKNB|PRO1155|ZNEUROK1</t>
  </si>
  <si>
    <t>TACO1</t>
  </si>
  <si>
    <t>CCDC44|MC4DN8</t>
  </si>
  <si>
    <t>TACR3</t>
  </si>
  <si>
    <t>HH11|NK-3R|NK3|NK3R|NKR|TAC3R|TAC3RL</t>
  </si>
  <si>
    <t>TACSTD2</t>
  </si>
  <si>
    <t>EGP-1|EGP1|GA733-1|GA7331|GP50|M1S1|TROP2</t>
  </si>
  <si>
    <t>TAF1</t>
  </si>
  <si>
    <t>BA2R|CCG1|CCGS|DYT3|DYT3/TAF1|KAT4|MRXS33|N-TAF1|NSCL2|OF|P250|TAF(II)250|TAF2A|TAFII-250|TAFII250|XDP</t>
  </si>
  <si>
    <t>BEWEGING (XL);MR (XL);OMIM (XL;XLR);PARK (XL)</t>
  </si>
  <si>
    <t>TAF13</t>
  </si>
  <si>
    <t>MRT60|TAF(II)18|TAF2K|TAFII-18|TAFII18</t>
  </si>
  <si>
    <t>TAF1C</t>
  </si>
  <si>
    <t>MGC:39976|SL1|TAFI110|TAFI95</t>
  </si>
  <si>
    <t>TAF2</t>
  </si>
  <si>
    <t>CIF150|MRT40|TAF2B|TAFII150</t>
  </si>
  <si>
    <t>TAF4B</t>
  </si>
  <si>
    <t>SPGF13|TAF2C2|TAFII105</t>
  </si>
  <si>
    <t>TAF6</t>
  </si>
  <si>
    <t>ALYUS|MGC:8964|TAF(II)70|TAF(II)80|TAF2E|TAFII-70|TAFII-80|TAFII70|TAFII80|TAFII85</t>
  </si>
  <si>
    <t>TAFAZZIN</t>
  </si>
  <si>
    <t>BTHS|CMD3A|EFE|EFE2|G4.5|LVNCX|TAZ|Taz1</t>
  </si>
  <si>
    <t>TAZ</t>
  </si>
  <si>
    <t>BMF (XLR);HART (XLR);IMMUUN (XL);METAB (XL);OMIM (XL;XLR);OXPHOS (XL)</t>
  </si>
  <si>
    <t>TAL1</t>
  </si>
  <si>
    <t>SCL|TCL5|bHLHa17|tal-1</t>
  </si>
  <si>
    <t>TAL2</t>
  </si>
  <si>
    <t>TALDO1</t>
  </si>
  <si>
    <t>TAL|TAL-H|TALDOR|TALH</t>
  </si>
  <si>
    <t>DERM (AR);HEMOS (AR);LEVER (AR);METAB (AR);OMIM (AR);PCS (AR)</t>
  </si>
  <si>
    <t>TANC2</t>
  </si>
  <si>
    <t>IDDALDS|ROLSA|rols</t>
  </si>
  <si>
    <t>TANGO2</t>
  </si>
  <si>
    <t>C22orf25|MECRCN</t>
  </si>
  <si>
    <t>BEWEGING (AR);EPI (AR);METAB (AR);MR (AR);OMIM (AR);OXPHOS (AR);PCS (AR);SPIER (AR)</t>
  </si>
  <si>
    <t>TAOK1</t>
  </si>
  <si>
    <t>KFC-B|MAP3K16|MARKK|PSK-2|PSK2|TAO1|hKFC-B|hTAOK1</t>
  </si>
  <si>
    <t>TAP1</t>
  </si>
  <si>
    <t>ABC17|ABCB2|APT1|D6S114E|PSF-1|PSF1|RING4|TAP1*0102N|TAP1N</t>
  </si>
  <si>
    <t>TAP2</t>
  </si>
  <si>
    <t>ABC18|ABCB3|APT2|D6S217E|PSF-2|PSF2|RING11</t>
  </si>
  <si>
    <t>TAPBP</t>
  </si>
  <si>
    <t>NGS17|TAPA|TPN|TPSN</t>
  </si>
  <si>
    <t>TAPT1</t>
  </si>
  <si>
    <t>CMVFR|OCLSBG</t>
  </si>
  <si>
    <t>TARDBP</t>
  </si>
  <si>
    <t>ALS10|TDP-43</t>
  </si>
  <si>
    <t>TARS1</t>
  </si>
  <si>
    <t>TARS|TTD7|ThrRS</t>
  </si>
  <si>
    <t>TARS2</t>
  </si>
  <si>
    <t>COXPD21|TARSL1|thrRS</t>
  </si>
  <si>
    <t>TASP1</t>
  </si>
  <si>
    <t>C20orf13|SULEHS|dJ585I14.2</t>
  </si>
  <si>
    <t>TAT</t>
  </si>
  <si>
    <t>TAX1BP3</t>
  </si>
  <si>
    <t>TIP-1|TIP1</t>
  </si>
  <si>
    <t>TBC1D20</t>
  </si>
  <si>
    <t>C20orf140|WARBM4</t>
  </si>
  <si>
    <t>TBC1D23</t>
  </si>
  <si>
    <t>NS4ATP1|PCH11</t>
  </si>
  <si>
    <t>TBC1D24</t>
  </si>
  <si>
    <t>DEE16|DFNA65|DFNB86|DOORS|EIEE16|EPRPDC|FIME|TLDC6</t>
  </si>
  <si>
    <t>DERM (AR);DOOF (AD,AR);EPI (AR);MR (AR);OMIM (AD,AR);PCS (AR)</t>
  </si>
  <si>
    <t>TBC1D2B</t>
  </si>
  <si>
    <t>TBC1D32</t>
  </si>
  <si>
    <t>BROMI|C6orf170|C6orf171</t>
  </si>
  <si>
    <t>TBC1D7</t>
  </si>
  <si>
    <t>MGCPH|PIG51|TBC7</t>
  </si>
  <si>
    <t>TBC1D8B</t>
  </si>
  <si>
    <t>GRAMD8B|NPHS20</t>
  </si>
  <si>
    <t>NIER (XL);OMIM (XL)</t>
  </si>
  <si>
    <t>TBCD</t>
  </si>
  <si>
    <t>PEBAT|SSD-1|tfcD</t>
  </si>
  <si>
    <t>AKI (AR);BEWEGING (AR);EPI (AR);MR (AR);OMIM (AR);PCS (AR)</t>
  </si>
  <si>
    <t>TBCE</t>
  </si>
  <si>
    <t>HRD|KCS|KCS1|PEAMO|pac2</t>
  </si>
  <si>
    <t>EPI (AR);HMSN (AR);LENGTE (AR);MR (AR);OMIM (AR);PCS (AR)</t>
  </si>
  <si>
    <t>TBCK</t>
  </si>
  <si>
    <t>HSPC302|IHPRF3|TBCKL</t>
  </si>
  <si>
    <t>TBK1</t>
  </si>
  <si>
    <t>FTDALS4|IIAE8|NAK|T2K</t>
  </si>
  <si>
    <t>TBL1X</t>
  </si>
  <si>
    <t>CHNG8|EBI|SMAP55|TBL1</t>
  </si>
  <si>
    <t>TBL1XR1</t>
  </si>
  <si>
    <t>C21|DC42|IRA1|MRD41|TBLR1</t>
  </si>
  <si>
    <t>TBL1Y</t>
  </si>
  <si>
    <t>DFNY2|TBL1</t>
  </si>
  <si>
    <t>DOOF (UK,AR,AD,XL);OMIM (UK,AR,AD,XL)</t>
  </si>
  <si>
    <t>TBP</t>
  </si>
  <si>
    <t>GTF2D|GTF2D1|HDL4|SCA17|TFIID</t>
  </si>
  <si>
    <t>TBR1</t>
  </si>
  <si>
    <t>IDDAS|TBR-1|TES-56</t>
  </si>
  <si>
    <t>TBX1</t>
  </si>
  <si>
    <t>CAFS|CATCH22|CTHM|DGCR|DGS|DORV|TBX1C|TGA|VCF|VCFS</t>
  </si>
  <si>
    <t>CFA (AD);CHD (AD);HART (AD);HEMOS (AD);IMMUUN (AD);MR (AD);OMIM (AD);SCHISIS (AD)</t>
  </si>
  <si>
    <t>TBX15</t>
  </si>
  <si>
    <t>TBX14</t>
  </si>
  <si>
    <t>TBX18</t>
  </si>
  <si>
    <t>CAKUT2</t>
  </si>
  <si>
    <t>TBX19</t>
  </si>
  <si>
    <t>TBS19|TPIT|dJ747L4.1</t>
  </si>
  <si>
    <t>TBX2</t>
  </si>
  <si>
    <t>VETD</t>
  </si>
  <si>
    <t>TBX20</t>
  </si>
  <si>
    <t>ASD4</t>
  </si>
  <si>
    <t>ANEURYSM (AD);CHD (AD);HART (AD);OMIM (AD;UK,AR,AD,XL)</t>
  </si>
  <si>
    <t>TBX21</t>
  </si>
  <si>
    <t>T-PET|T-bet|TBET|TBLYM</t>
  </si>
  <si>
    <t>TBX22</t>
  </si>
  <si>
    <t>ABERS|CLPA|CPX|TBXX|dJ795G23.1</t>
  </si>
  <si>
    <t>CFA (XL);OMIM (XL);SCHISIS (XL)</t>
  </si>
  <si>
    <t>TBX3</t>
  </si>
  <si>
    <t>TBX3-ISO|UMS|XHL</t>
  </si>
  <si>
    <t>DERM (AD);DSD (AD);LENGTE (AD);OMIM (AD)</t>
  </si>
  <si>
    <t>TBX4</t>
  </si>
  <si>
    <t>ICPPS|PAPPAS|SPS</t>
  </si>
  <si>
    <t>TBX5</t>
  </si>
  <si>
    <t>HOS</t>
  </si>
  <si>
    <t>TBX6</t>
  </si>
  <si>
    <t>SCDO5</t>
  </si>
  <si>
    <t>TBXA2R</t>
  </si>
  <si>
    <t>BDPLT13|TXA2-R</t>
  </si>
  <si>
    <t>TBXAS1</t>
  </si>
  <si>
    <t>BDPLT14|CYP5|CYP5A1|GHOSAL|THAS|TS|TXAS|TXS</t>
  </si>
  <si>
    <t>BMF (AD,AR);HEMOS (AD,AR);LENGTE (AR);METAB (AR);OMIM (AR;AD,AR);PCS (AR)</t>
  </si>
  <si>
    <t>TBXT</t>
  </si>
  <si>
    <t>SAVA|T|TFT</t>
  </si>
  <si>
    <t>TCAP</t>
  </si>
  <si>
    <t>CMD1N|CMH25|LGMD2G|LGMDR7|T-cap|TELE|telethonin</t>
  </si>
  <si>
    <t>HART (AD,AR);OMIM (AD,AR);PCS (AR);SPIER (AR)</t>
  </si>
  <si>
    <t>TCF12</t>
  </si>
  <si>
    <t>CRS3|HEB|HTF4|HsT17266|TCF-12|bHLHb20|p64</t>
  </si>
  <si>
    <t>CFA (AD);DSD (AD);HH (AD);LENGTE (AD);OMIM (AD)</t>
  </si>
  <si>
    <t>TCF20</t>
  </si>
  <si>
    <t>AR1|DDVIBA|SPBP|TCF-20</t>
  </si>
  <si>
    <t>TCF3</t>
  </si>
  <si>
    <t>AGM8|E2A|E47|ITF1|TCF-3|VDIR|bHLHb21|p75</t>
  </si>
  <si>
    <t>TCF4</t>
  </si>
  <si>
    <t>CDG2T|E2-2|FECD3|ITF-2|ITF2|PTHS|SEF-2|SEF2|SEF2-1|SEF2-1A|SEF2-1B|SEF2-1D|TCF-4|bHLHb19</t>
  </si>
  <si>
    <t>BLIND (AD);EPI (AD);MR (AD);OMIM (AD)</t>
  </si>
  <si>
    <t>TCF7L2</t>
  </si>
  <si>
    <t>TCF-4|TCF4</t>
  </si>
  <si>
    <t>TCHH</t>
  </si>
  <si>
    <t>THH|THL|TRHY|UHS3</t>
  </si>
  <si>
    <t>TCIRG1</t>
  </si>
  <si>
    <t>ATP6N1C|ATP6V0A3|Atp6i|OC-116kDa|OC116|OPTB1|Stv1|TIRC7|Vph1|a3</t>
  </si>
  <si>
    <t>BMF (AR);DERM (AR);IMMUUN (AR);LENGTE (AR);METAB (AR);OMIM (AR);PCS (AR)</t>
  </si>
  <si>
    <t>TCN2</t>
  </si>
  <si>
    <t>D22S676|D22S750|II|TC|TC II|TC-2|TC2|TCII</t>
  </si>
  <si>
    <t>TCOF1</t>
  </si>
  <si>
    <t>MFD1|TCS|TCS1|treacle</t>
  </si>
  <si>
    <t>CFA (AD);DOOF (AD);LENGTE (AD);OMIM (AD);SCHISIS (AD)</t>
  </si>
  <si>
    <t>TCTN1</t>
  </si>
  <si>
    <t>JBTS13|TECT1</t>
  </si>
  <si>
    <t>TCTN2</t>
  </si>
  <si>
    <t>C12orf38|JBTS24|MKS8|TECT2</t>
  </si>
  <si>
    <t>CILIO (AR);LENGTE (AR);MR (AR);NIER (AR);OMIM (AR);PCS (AR)</t>
  </si>
  <si>
    <t>TCTN3</t>
  </si>
  <si>
    <t>C10orf61|JBTS18|OFD4|TECT3</t>
  </si>
  <si>
    <t>BLIND (AR);CILIO (AR);DSD (AR);LENGTE (AR);MR (AR);NIER (AR);OMIM (AR);PCS (AR);SCHISIS (AR)</t>
  </si>
  <si>
    <t>TDGF1</t>
  </si>
  <si>
    <t>CR|CR-1|CRGF|CRIPTO</t>
  </si>
  <si>
    <t>CHD (AD);HART (AD);OMIM (UK,AR,AD,XL)</t>
  </si>
  <si>
    <t>TDP1</t>
  </si>
  <si>
    <t>TDP2</t>
  </si>
  <si>
    <t>AD022|EAP2|EAPII|TTRAP|dJ30M3.3|hTDP2</t>
  </si>
  <si>
    <t>TDRD7</t>
  </si>
  <si>
    <t>CATC4|PCTAIRE2BP|TRAP</t>
  </si>
  <si>
    <t>TDRD9</t>
  </si>
  <si>
    <t>C14orf75|HIG-1|HLS|NET54|SPGF30|SPNE</t>
  </si>
  <si>
    <t>TDRKH</t>
  </si>
  <si>
    <t>TDRD2</t>
  </si>
  <si>
    <t>TEAD1</t>
  </si>
  <si>
    <t>AA|NTEF-1|REF1|TCF-13|TCF13|TEAD-1|TEF-1</t>
  </si>
  <si>
    <t>TECPR2</t>
  </si>
  <si>
    <t>KIAA0329|SPG49</t>
  </si>
  <si>
    <t>TECR</t>
  </si>
  <si>
    <t>GPSN2|MRT14|SC2|TER</t>
  </si>
  <si>
    <t>TECRL</t>
  </si>
  <si>
    <t>CPVT3|GPSN2L|SRD5A2L2|TERL</t>
  </si>
  <si>
    <t>TECTA</t>
  </si>
  <si>
    <t>DFNA12|DFNA8|DFNB21</t>
  </si>
  <si>
    <t>TEK</t>
  </si>
  <si>
    <t>CD202B|GLC3E|TIE-2|TIE2|VMCM|VMCM1</t>
  </si>
  <si>
    <t>BLIND (AD);DERM (AD);OMIM (AD)</t>
  </si>
  <si>
    <t>TELO2</t>
  </si>
  <si>
    <t>CLK2|TEL2|YHFS</t>
  </si>
  <si>
    <t>TENM3</t>
  </si>
  <si>
    <t>MCOPCB9|MCOPS15|ODZ3|TEN3|TNM3|Ten-m3|ten-3</t>
  </si>
  <si>
    <t>TENM4</t>
  </si>
  <si>
    <t>Doc4|ETM5|ODZ4|TEN4|TNM4|Ten-M4|ten-4</t>
  </si>
  <si>
    <t>TENT5A</t>
  </si>
  <si>
    <t>C6orf37|FAM46A|OI18|XTP11</t>
  </si>
  <si>
    <t>TERC</t>
  </si>
  <si>
    <t>DKCA1|PFBMFT2|SCARNA19|TR|TRC3|hTR</t>
  </si>
  <si>
    <t>BMF (AD);DERM (AD);DKC (AD);IMMUUN (AD);LEVER (AD);OMIM (AD);TUMOR (AD)</t>
  </si>
  <si>
    <t>TERF1</t>
  </si>
  <si>
    <t>PIN2|TRBF1|TRF|TRF1|hTRF1-AS|t-TRF1</t>
  </si>
  <si>
    <t>TERF2</t>
  </si>
  <si>
    <t>TRBF2|TRF2</t>
  </si>
  <si>
    <t>TERF2IP</t>
  </si>
  <si>
    <t>DRIP5|RAP1</t>
  </si>
  <si>
    <t>BMF (AD);DERM (AD);MELANOOM (AD);OMIM (AD);TUMOR (AD)</t>
  </si>
  <si>
    <t>TERT</t>
  </si>
  <si>
    <t>CMM9|DKCA2|DKCB4|EST2|PFBMFT1|TCS1|TP2|TRT|hEST2|hTRT</t>
  </si>
  <si>
    <t>BMF (AD,AR);DERM (AD,AR);DKC (AD,AR);IMMUUN (AD,AR);LEVER (AD);MELANOOM (AD,AR);OMIM (AD,AR);TUMOR (AD,AR)</t>
  </si>
  <si>
    <t>TET2</t>
  </si>
  <si>
    <t>IMD75|KIAA1546|MDS</t>
  </si>
  <si>
    <t>BMF (AD,AR);IMMUUN (AD,AR);OMIM (AD,AR;UK,AR,AD,XL)</t>
  </si>
  <si>
    <t>TET3</t>
  </si>
  <si>
    <t>BEFAHRS|hCG_40738</t>
  </si>
  <si>
    <t>MR (AD,AR);OMIM (AD,AR)</t>
  </si>
  <si>
    <t>TEX11</t>
  </si>
  <si>
    <t>MZIP4|SPGFX2|Spo22|TGC1|TSGA3|ZIP4|ZIP4H</t>
  </si>
  <si>
    <t>TEX14</t>
  </si>
  <si>
    <t>CT113|SPGF23</t>
  </si>
  <si>
    <t>TEX15</t>
  </si>
  <si>
    <t>CT42|SPGF25</t>
  </si>
  <si>
    <t>TF</t>
  </si>
  <si>
    <t>HEL-S-71p|PRO1557|PRO2086|TFQTL1</t>
  </si>
  <si>
    <t>TFAM</t>
  </si>
  <si>
    <t>MTDPS15|MTTF1|MTTFA|TCF6|TCF6L1|TCF6L2|TCF6L3</t>
  </si>
  <si>
    <t>TFAP2A</t>
  </si>
  <si>
    <t>AP-2|AP-2alpha|AP2TF|BOFS|TFAP2</t>
  </si>
  <si>
    <t>CFA (AD);DERM (AD);DOOF (AD);MR (AD);OMIM (AD);SCHISIS (AD)</t>
  </si>
  <si>
    <t>TFAP2B</t>
  </si>
  <si>
    <t>AP-2B|AP2-B|PDA2</t>
  </si>
  <si>
    <t>TFB2M</t>
  </si>
  <si>
    <t>Hkp1|mtTFB2</t>
  </si>
  <si>
    <t>TFE3</t>
  </si>
  <si>
    <t>RCCP2|RCCX1|TFEA|bHLHe33</t>
  </si>
  <si>
    <t>TFG</t>
  </si>
  <si>
    <t>HMSNP|SPG57|TF6|TRKT3</t>
  </si>
  <si>
    <t>HMSN (AD);OMIM (AD,AR);PCS (AR)</t>
  </si>
  <si>
    <t>TFR2</t>
  </si>
  <si>
    <t>HFE3|TFRC2</t>
  </si>
  <si>
    <t>TFRC</t>
  </si>
  <si>
    <t>CD71|IMD46|T9|TFR|TFR1|TR|TRFR|p90</t>
  </si>
  <si>
    <t>IJZER (AD,AR);IMMUUN (AR);OMIM (AR;AD,AR);PCS (AR)</t>
  </si>
  <si>
    <t>TG</t>
  </si>
  <si>
    <t>AITD3|TGN</t>
  </si>
  <si>
    <t>TGDS</t>
  </si>
  <si>
    <t>CATMANS|SDR2E1|TDPGD</t>
  </si>
  <si>
    <t>TGFB1</t>
  </si>
  <si>
    <t>CED|DPD1|IBDIMDE|LAP|TGF-beta1|TGFB|TGFbeta</t>
  </si>
  <si>
    <t>ANEURYSM (AD);IMMUUN (AR);LENGTE (AD);OMIM (AR;AD,AR);PCS (AR)</t>
  </si>
  <si>
    <t>TGFB2</t>
  </si>
  <si>
    <t>G-TSF|LDS4|TGF-beta2</t>
  </si>
  <si>
    <t>ANEURYSM (AD);DERM (AD);HART (AD);LENGTE (AD);OMIM (AD)</t>
  </si>
  <si>
    <t>TGFB3</t>
  </si>
  <si>
    <t>ARVD|ARVD1|LDS5|RNHF|TGF-beta3</t>
  </si>
  <si>
    <t>ANEURYSM (AD);HART (AD);LENGTE (AD);OMIM (AD);SCHISIS (AD)</t>
  </si>
  <si>
    <t>TGFBI</t>
  </si>
  <si>
    <t>BIGH3|CDB1|CDG2|CDGG1|CSD|CSD1|CSD2|CSD3|EBMD|LCD1</t>
  </si>
  <si>
    <t>TGFBR1</t>
  </si>
  <si>
    <t>AAT5|ACVRLK4|ALK-5|ALK5|ESS1|LDS1|LDS1A|LDS2A|MSSE|SKR4|TBR-i|TBRI|TGFR-1|tbetaR-I</t>
  </si>
  <si>
    <t>TGFBR2</t>
  </si>
  <si>
    <t>AAT3|FAA3|LDS1B|LDS2|LDS2B|MFS2|RIIC|TAAD2|TBR-ii|TBRII|TGFR-2|TGFbeta-RII</t>
  </si>
  <si>
    <t>ANEURYSM (AD);CFA (AD);DERM (AD);HART (AD);LENGTE (AD);OMIM (AD);SCHISIS (AD)</t>
  </si>
  <si>
    <t>TGIF1</t>
  </si>
  <si>
    <t>HPE4|TGIF</t>
  </si>
  <si>
    <t>TGM1</t>
  </si>
  <si>
    <t>ARCI1|ICR2|KTG|LI|LI1|TGASE|TGK</t>
  </si>
  <si>
    <t>TGM3</t>
  </si>
  <si>
    <t>TGE|UHS2</t>
  </si>
  <si>
    <t>TGM5</t>
  </si>
  <si>
    <t>PSS2|TGASE5|TGASEX|TGM6|TGMX|TGX</t>
  </si>
  <si>
    <t>TGM6</t>
  </si>
  <si>
    <t>SCA35|TG6|TGM3L|TGY|dJ734P14.3</t>
  </si>
  <si>
    <t>TH</t>
  </si>
  <si>
    <t>DYT14|DYT5b|TYH</t>
  </si>
  <si>
    <t>BEWEGING (AR);METAB (AR);MR (AR);OMIM (AR);PARK (AR);PCS (AR)</t>
  </si>
  <si>
    <t>THAP1</t>
  </si>
  <si>
    <t>DYT6</t>
  </si>
  <si>
    <t>THBD</t>
  </si>
  <si>
    <t>AHUS6|BDCA-3|BDCA3|CD141|THPH12|THRM|TM</t>
  </si>
  <si>
    <t>HEMOS (AD,AR);IMMUUN (AD,AR);NIER (AD);OMIM (UK,AR,AD,XL;AD,AR)</t>
  </si>
  <si>
    <t>THBS4</t>
  </si>
  <si>
    <t>TSP-4|TSP4</t>
  </si>
  <si>
    <t>THG1L</t>
  </si>
  <si>
    <t>ICF45|IHG-1|IHG1|SCAR28|THG1|hTHG1</t>
  </si>
  <si>
    <t>THOC1</t>
  </si>
  <si>
    <t>HPR1|P84|P84N5</t>
  </si>
  <si>
    <t>THOC2</t>
  </si>
  <si>
    <t>CXorf3|MRX12|MRX35|THO2|dJ506G2.1|hTREX120</t>
  </si>
  <si>
    <t>THOC6</t>
  </si>
  <si>
    <t>WDR58|fSAP35</t>
  </si>
  <si>
    <t>THPO</t>
  </si>
  <si>
    <t>MGDF|MKCSF|ML|MPLLG|THCYT1|TPO</t>
  </si>
  <si>
    <t>BMF (AD);HEMOS (AD);LENGTE (AD);OMIM (AD);TUMOR (AD)</t>
  </si>
  <si>
    <t>THRA</t>
  </si>
  <si>
    <t>AR7|CHNG6|EAR7|ERB-T-1|ERBA|ERBA1|NR1A1|THRA1|THRA2|c-ERBA-1</t>
  </si>
  <si>
    <t>THRB</t>
  </si>
  <si>
    <t>C-ERBA-2|C-ERBA-BETA|ERBA2|GRTH|NR1A2|PRTH|THR1|THRB1|THRB2</t>
  </si>
  <si>
    <t>TIA1</t>
  </si>
  <si>
    <t>ALS26|TIA-1|WDM</t>
  </si>
  <si>
    <t>TICAM1</t>
  </si>
  <si>
    <t>IIAE6|MyD88-3|PRVTIRB|TICAM-1|TRIF</t>
  </si>
  <si>
    <t>TIMM22</t>
  </si>
  <si>
    <t>COXPD43|TEX4|TIM22</t>
  </si>
  <si>
    <t>TIMM44</t>
  </si>
  <si>
    <t>TIM44</t>
  </si>
  <si>
    <t>TIMM50</t>
  </si>
  <si>
    <t>MGCA9|TIM50|TIM50L</t>
  </si>
  <si>
    <t>TIMM8A</t>
  </si>
  <si>
    <t>DDP|DDP1|DFN1|MTS|TIM8</t>
  </si>
  <si>
    <t>BEWEGING (XL);BLIND (XL);DOOF (XL);MR (XL);OMIM (XL;XLR);OXPHOS (XL)</t>
  </si>
  <si>
    <t>TIMMDC1</t>
  </si>
  <si>
    <t>C3orf1|MC1DN31</t>
  </si>
  <si>
    <t>TIMP1</t>
  </si>
  <si>
    <t>CLGI|EPA|EPO|HCI|TIMP|TIMP-1</t>
  </si>
  <si>
    <t>ANEURYSM (XL);OMIM (XL)</t>
  </si>
  <si>
    <t>TIMP2</t>
  </si>
  <si>
    <t>CSC-21K|DDC8</t>
  </si>
  <si>
    <t>TIMP3</t>
  </si>
  <si>
    <t>HSMRK222|K222|K222TA2|SFD</t>
  </si>
  <si>
    <t>TINF2</t>
  </si>
  <si>
    <t>DKCA3|TIN2</t>
  </si>
  <si>
    <t>BMF (AD);DERM (AD);DKC (AD);IMMUUN (AD);MELANOOM (AD);MR (AD);OMIM (AD);TUMOR (AD)</t>
  </si>
  <si>
    <t>TIRAP</t>
  </si>
  <si>
    <t>BACTS1|Mal|MyD88-2|wyatt</t>
  </si>
  <si>
    <t>TJP1</t>
  </si>
  <si>
    <t>ZO-1</t>
  </si>
  <si>
    <t>TJP2</t>
  </si>
  <si>
    <t>C9DUPq21.11|DFNA51|DUP9q21.11|PFIC4|X104|ZO2</t>
  </si>
  <si>
    <t>DOOF (AR);LEVER (AR);OMIM (AR);PCS (AR)</t>
  </si>
  <si>
    <t>TK2</t>
  </si>
  <si>
    <t>MTDPS2|MTTK|PEOB3|SCA31</t>
  </si>
  <si>
    <t>METAB (AR);OMIM (AR);OXPHOS (AR);PCS (AR);SPIER (AR)</t>
  </si>
  <si>
    <t>TKFC</t>
  </si>
  <si>
    <t>DAK|NET45|TKFCD</t>
  </si>
  <si>
    <t>METAB (AR);MR (AR);OMIM (AR)</t>
  </si>
  <si>
    <t>TKT</t>
  </si>
  <si>
    <t>HEL-S-48|HEL107|SDDHD|TK|TKT1</t>
  </si>
  <si>
    <t>TLE6</t>
  </si>
  <si>
    <t>GRG6|PREMBL</t>
  </si>
  <si>
    <t>TLK2</t>
  </si>
  <si>
    <t>HsHPK|MRD57|PKU-ALPHA</t>
  </si>
  <si>
    <t>TLL1</t>
  </si>
  <si>
    <t>ASD6|TLL</t>
  </si>
  <si>
    <t>TLN1</t>
  </si>
  <si>
    <t>ILWEQ|TLN|talin-1</t>
  </si>
  <si>
    <t>TLR3</t>
  </si>
  <si>
    <t>CD283|IIAE2</t>
  </si>
  <si>
    <t>TLR4</t>
  </si>
  <si>
    <t>ARMD10|CD284|TLR-4|TOLL</t>
  </si>
  <si>
    <t>TLR7</t>
  </si>
  <si>
    <t>IMD74|TLR7-like</t>
  </si>
  <si>
    <t>TLR8</t>
  </si>
  <si>
    <t>CD288</t>
  </si>
  <si>
    <t>TMC1</t>
  </si>
  <si>
    <t>DFNA36|DFNB11|DFNB7</t>
  </si>
  <si>
    <t>TMC6</t>
  </si>
  <si>
    <t>EV1|EVER1|EVIN1|LAK-4P|TNRC6C-AS1|lnc</t>
  </si>
  <si>
    <t>TMC8</t>
  </si>
  <si>
    <t>EV2|EVER2|EVIN2</t>
  </si>
  <si>
    <t>DERM (AR);IMMUUN (AR);OMIM (AR;UK,AR,AD,XL);PCS (AR)</t>
  </si>
  <si>
    <t>TMCO1</t>
  </si>
  <si>
    <t>HP10122|PCIA3|PNAS-136|TMCC4</t>
  </si>
  <si>
    <t>TMCO3</t>
  </si>
  <si>
    <t>C13orf11</t>
  </si>
  <si>
    <t>TMEM106B</t>
  </si>
  <si>
    <t>HLD16</t>
  </si>
  <si>
    <t>BEWEGING (AD);METAB (AD);MR (AD);OMIM (AD)</t>
  </si>
  <si>
    <t>TMEM107</t>
  </si>
  <si>
    <t>GRVS638|JBTS29|MKS13|PRO1268</t>
  </si>
  <si>
    <t>TMEM126A</t>
  </si>
  <si>
    <t>OPA7</t>
  </si>
  <si>
    <t>BLIND (AR);OMIM (AR);OXPHOS (AR);PCS (AR)</t>
  </si>
  <si>
    <t>TMEM126B</t>
  </si>
  <si>
    <t>HT007|MC1DN29</t>
  </si>
  <si>
    <t>TMEM127</t>
  </si>
  <si>
    <t>TMEM132E</t>
  </si>
  <si>
    <t>DFNB99</t>
  </si>
  <si>
    <t>TMEM138</t>
  </si>
  <si>
    <t>HSPC196</t>
  </si>
  <si>
    <t>TMEM14C</t>
  </si>
  <si>
    <t>C6orf53|HSPC194|MSTP073|NET26|bA421M1.6</t>
  </si>
  <si>
    <t>TMEM165</t>
  </si>
  <si>
    <t>CDG2K|FT27|GDT1|SLC64A1|TMPT27|TPARL</t>
  </si>
  <si>
    <t>TMEM186</t>
  </si>
  <si>
    <t>C16orf51</t>
  </si>
  <si>
    <t>TMEM199</t>
  </si>
  <si>
    <t>C17orf32|CDG2P|VMA12|VPH2</t>
  </si>
  <si>
    <t>TMEM216</t>
  </si>
  <si>
    <t>HSPC244</t>
  </si>
  <si>
    <t>TMEM218</t>
  </si>
  <si>
    <t>TMEM231</t>
  </si>
  <si>
    <t>ALYE870|JBTS20|MKS11|PRO1886</t>
  </si>
  <si>
    <t>TMEM237</t>
  </si>
  <si>
    <t>ALS2CR4|JBTS14</t>
  </si>
  <si>
    <t>TMEM240</t>
  </si>
  <si>
    <t>C1orf70|SCA21</t>
  </si>
  <si>
    <t>TMEM251</t>
  </si>
  <si>
    <t>C14orf109</t>
  </si>
  <si>
    <t>TMEM260</t>
  </si>
  <si>
    <t>C14orf101|SHDRA</t>
  </si>
  <si>
    <t>TMEM38B</t>
  </si>
  <si>
    <t>C9orf87|D4Ertd89e|OI14|TRIC-B|TRICB|bA219P18.1</t>
  </si>
  <si>
    <t>TMEM43</t>
  </si>
  <si>
    <t>ARVC5|ARVD5|EDMD7|LUMA</t>
  </si>
  <si>
    <t>TMEM63A</t>
  </si>
  <si>
    <t>HLD19|KIAA0792</t>
  </si>
  <si>
    <t>TMEM65</t>
  </si>
  <si>
    <t>TMEM67</t>
  </si>
  <si>
    <t>JBTS6|MECKELIN|MKS3|NPHP11|TNEM67</t>
  </si>
  <si>
    <t>BEWEGING (AR);BLIND (AR);CILIO (AR);LENGTE (AR);LEVER (AR);MR (AR);NIER (AR);OMIM (AR);PCS (AR)</t>
  </si>
  <si>
    <t>TMEM70</t>
  </si>
  <si>
    <t>MC5DN2</t>
  </si>
  <si>
    <t>TMEM94</t>
  </si>
  <si>
    <t>IDDCDF|KIAA0195</t>
  </si>
  <si>
    <t>TMEM98</t>
  </si>
  <si>
    <t>TADA1</t>
  </si>
  <si>
    <t>TMIE</t>
  </si>
  <si>
    <t>DFNB6</t>
  </si>
  <si>
    <t>TMLHE</t>
  </si>
  <si>
    <t>AUTSX6|BBOX2|TMLD|TMLH|TMLHED|XAP130</t>
  </si>
  <si>
    <t>METAB (AR);MR (XL);OMIM (XL;AR)</t>
  </si>
  <si>
    <t>TMPO</t>
  </si>
  <si>
    <t>CMD1T|LAP2|LEMD4|PRO0868|TP</t>
  </si>
  <si>
    <t>TMPRSS15</t>
  </si>
  <si>
    <t>ENTK|PRSS7</t>
  </si>
  <si>
    <t>TMPRSS3</t>
  </si>
  <si>
    <t>DFNB10|DFNB8|ECHOS1|TADG12</t>
  </si>
  <si>
    <t>TMPRSS6</t>
  </si>
  <si>
    <t>IRIDA|MT2</t>
  </si>
  <si>
    <t>IJZER (AD,AR);OMIM (AD,AR);PCS (AR)</t>
  </si>
  <si>
    <t>TMTC2</t>
  </si>
  <si>
    <t>IBDBP1</t>
  </si>
  <si>
    <t>TMTC3</t>
  </si>
  <si>
    <t>LIS8|SMILE</t>
  </si>
  <si>
    <t>TMX2</t>
  </si>
  <si>
    <t>CGI-31|NEDMCMS|PDIA12|PIG26|TXNDC14</t>
  </si>
  <si>
    <t>TNC</t>
  </si>
  <si>
    <t>150-225|DFNA56|GMEM|GP|HXB|JI|TN|TN-C</t>
  </si>
  <si>
    <t>TNFAIP3</t>
  </si>
  <si>
    <t>A20|AISBL|OTUD7C|TNFA1P2</t>
  </si>
  <si>
    <t>TNFRSF10B</t>
  </si>
  <si>
    <t>CD262|DR5|KILLER|KILLER/DR5|TRAIL-R2|TRAILR2|TRICK2|TRICK2A|TRICK2B|TRICKB|ZTNFR9</t>
  </si>
  <si>
    <t>TNFRSF11A</t>
  </si>
  <si>
    <t>CD265|FEO|LOH18CR1|ODFR|OFE|OPTB7|OSTS|PDB2|RANK|TRANCER</t>
  </si>
  <si>
    <t>DERM (AD,AR);IMMUUN (AR);LENGTE (AD);OMIM (AR;AD;AD,AR);PCS (AR);TUMOR (AD)</t>
  </si>
  <si>
    <t>TNFRSF11B</t>
  </si>
  <si>
    <t>OCIF|OPG|PDB5|TR1</t>
  </si>
  <si>
    <t>TNFRSF13B</t>
  </si>
  <si>
    <t>CD267|CVID|CVID2|IGAD2|RYZN|TACI|TNFRSF14B</t>
  </si>
  <si>
    <t>TNFRSF13C</t>
  </si>
  <si>
    <t>BAFF-R|BAFFR|BROMIX|CD268|CVID4|prolixin</t>
  </si>
  <si>
    <t>TNFRSF1A</t>
  </si>
  <si>
    <t>CD120a|FPF|TBP1|TNF-R|TNF-R-I|TNF-R55|TNFAR|TNFR1|TNFR55|TNFR60|p55|p55-R|p60</t>
  </si>
  <si>
    <t>TNFRSF4</t>
  </si>
  <si>
    <t>ACT35|CD134|IMD16|OX40|TXGP1L</t>
  </si>
  <si>
    <t>TNFRSF9</t>
  </si>
  <si>
    <t>4-1BB|CD137|CDw137|ILA</t>
  </si>
  <si>
    <t>TNFSF11</t>
  </si>
  <si>
    <t>CD254|ODF|OPGL|OPTB2|RANKL|TNLG6B|TRANCE|hRANKL2|sOdf</t>
  </si>
  <si>
    <t>TNFSF12</t>
  </si>
  <si>
    <t>APO3L|DR3LG|TNLG4A|TWEAK</t>
  </si>
  <si>
    <t>TNFSF13</t>
  </si>
  <si>
    <t>APRIL|CD256|TALL-2|TALL2|TNLG7B|TRDL-1|UNQ383/PRO715|ZTNF2</t>
  </si>
  <si>
    <t>TNIK</t>
  </si>
  <si>
    <t>TNNC1</t>
  </si>
  <si>
    <t>CMD1Z|CMH13|TN-C|TNC|TNNC</t>
  </si>
  <si>
    <t>TNNI2</t>
  </si>
  <si>
    <t>AMCD2B|DA2B|DA2B1|FSSV|fsTnI</t>
  </si>
  <si>
    <t>AKI (AD);OMIM (AD);SPIER (AD)</t>
  </si>
  <si>
    <t>TNNI3</t>
  </si>
  <si>
    <t>CMD1FF|CMD2A|CMH7|RCM1|TNNC1|cTnI</t>
  </si>
  <si>
    <t>HART (AD,AR);OMIM (AD,AR);PCS (AR)</t>
  </si>
  <si>
    <t>TNNI3K</t>
  </si>
  <si>
    <t>CARK|CCDD</t>
  </si>
  <si>
    <t>TNNT1</t>
  </si>
  <si>
    <t>ANM|NEM5|STNT|TNT|TNTS</t>
  </si>
  <si>
    <t>TNNT2</t>
  </si>
  <si>
    <t>CMD1D|CMH2|CMPD2|LVNC6|RCM3|TnTC|cTnT</t>
  </si>
  <si>
    <t>TNNT3</t>
  </si>
  <si>
    <t>DA2B2|TNTF|beta-TnTF</t>
  </si>
  <si>
    <t>AKI (AD);OMIM (AD)</t>
  </si>
  <si>
    <t>TNPO3</t>
  </si>
  <si>
    <t>IPO12|LGMD1F|LGMDD2|MTR10A|TRN-SR|TRN-SR2|TRNSR</t>
  </si>
  <si>
    <t>TNRC6A</t>
  </si>
  <si>
    <t>CAGH26|FAME6|GW1|GW182|TNRC6</t>
  </si>
  <si>
    <t>TNRC6B</t>
  </si>
  <si>
    <t>TNS2</t>
  </si>
  <si>
    <t>C1-TEN|C1TEN|TENC1</t>
  </si>
  <si>
    <t>TNXB</t>
  </si>
  <si>
    <t>EDS3|EDSCLL|EDSCLL1|HXBL|TENX|TN-X|TNX|TNXB1|TNXB2|TNXBS|VUR8|XB|XBS</t>
  </si>
  <si>
    <t>ANEURYSM (AD);DERM (AD,AR);HEMOS (AR);NIER (AD);OMIM (AD;AR;AD,AR);PCS (AR)</t>
  </si>
  <si>
    <t>TOE1</t>
  </si>
  <si>
    <t>PCH7|TOE-1|hCaf1z</t>
  </si>
  <si>
    <t>TOGARAM1</t>
  </si>
  <si>
    <t>FAM179B|JBTS37|KIAA0423</t>
  </si>
  <si>
    <t>BLIND (AR);CILIO (AR);OMIM (AR)</t>
  </si>
  <si>
    <t>TOMM70</t>
  </si>
  <si>
    <t>TOMM70A|Tom70</t>
  </si>
  <si>
    <t>TONSL</t>
  </si>
  <si>
    <t>IKBR|NFKBIL2|SEMDSP</t>
  </si>
  <si>
    <t>TOP1</t>
  </si>
  <si>
    <t>TOPI</t>
  </si>
  <si>
    <t>TOP2A</t>
  </si>
  <si>
    <t>TOP2|TP2A</t>
  </si>
  <si>
    <t>TOP2B</t>
  </si>
  <si>
    <t>TOPIIB|top2beta</t>
  </si>
  <si>
    <t>TOP3A</t>
  </si>
  <si>
    <t>MGRISCE2|PEOB5|TOP3|ZGRF7</t>
  </si>
  <si>
    <t>TOPORS</t>
  </si>
  <si>
    <t>LUN|P53BP3|RP31|TP53BPL</t>
  </si>
  <si>
    <t>TOR1A</t>
  </si>
  <si>
    <t>AMC5|DQ2|DYT1</t>
  </si>
  <si>
    <t>BEWEGING (AD);HNPD (AD);OMIM (AD)</t>
  </si>
  <si>
    <t>TOR1AIP1</t>
  </si>
  <si>
    <t>LAP1|LAP1B|LAP1C|LGMD2Y</t>
  </si>
  <si>
    <t>TP53</t>
  </si>
  <si>
    <t>BCC7|BMFS5|LFS1|P53|TRP53</t>
  </si>
  <si>
    <t>BMF (AD);BRSTKNK (AD);OMIM (AD);SHHM (AD);TUMOR (AD)</t>
  </si>
  <si>
    <t>TP53RK</t>
  </si>
  <si>
    <t>BUD32|C20orf64|GAMOS4|Nori-2|Nori-2p|PRPK|TPRKB|dJ101A2</t>
  </si>
  <si>
    <t>TP63</t>
  </si>
  <si>
    <t>AIS|B(p51A)|B(p51B)|EEC3|KET|LMS|NBP|OFC8|RHS|SHFM4|TP53CP|TP53L|TP73L|p40|p51|p53CP|p63|p73H|p73L</t>
  </si>
  <si>
    <t>TPCN2</t>
  </si>
  <si>
    <t>SHEP10|TPC2</t>
  </si>
  <si>
    <t>TPI1</t>
  </si>
  <si>
    <t>HEL-S-49|TIM|TPI|TPID</t>
  </si>
  <si>
    <t>TPK1</t>
  </si>
  <si>
    <t>HTPK1|PP20|THMD5</t>
  </si>
  <si>
    <t>TPM1</t>
  </si>
  <si>
    <t>C15orf13|CMD1Y|CMH3|HEL-S-265|HTM-alpha|LVNC9|TMSA</t>
  </si>
  <si>
    <t>TPM2</t>
  </si>
  <si>
    <t>AMCD1|DA1|DA2B|DA2B4|HEL-S-273|NEM4|TMSB</t>
  </si>
  <si>
    <t>AKI (AD);OMIM (AD,AR);SPIER (AD,AR)</t>
  </si>
  <si>
    <t>TPM3</t>
  </si>
  <si>
    <t>CAPM1|CFTD|HEL-189|HEL-S-82p|NEM1|OK/SW-cl.5|TM-5|TM3|TM30|TM30nm|TM5|TPM3nu|TPMsk3|TRK|hscp30</t>
  </si>
  <si>
    <t>AKI (AD,AR);OMIM (AR;AD,AR);PCS (AR);SPIER (AD)</t>
  </si>
  <si>
    <t>TPM4</t>
  </si>
  <si>
    <t>HEL-S-108</t>
  </si>
  <si>
    <t>TPMT</t>
  </si>
  <si>
    <t>TPMTD</t>
  </si>
  <si>
    <t>TPO</t>
  </si>
  <si>
    <t>MSA|TDH2A|TPX</t>
  </si>
  <si>
    <t>TPP1</t>
  </si>
  <si>
    <t>CLN2|GIG1|LPIC|SCAR7|TPP-1</t>
  </si>
  <si>
    <t>BEWEGING (AR);BLIND (AR);EPI (AR);METAB (AR);MR (AR);OMIM (AR);PCS (AR)</t>
  </si>
  <si>
    <t>TPP2</t>
  </si>
  <si>
    <t>IMD78|TPP-2|TPP-II|TPPII</t>
  </si>
  <si>
    <t>TPRKB</t>
  </si>
  <si>
    <t>CGI-121|CGI121|GAMOS5</t>
  </si>
  <si>
    <t>TPRN</t>
  </si>
  <si>
    <t>C9orf75|DFNB79</t>
  </si>
  <si>
    <t>TRAC</t>
  </si>
  <si>
    <t>IMD7|TCRA|TRA|TRCA</t>
  </si>
  <si>
    <t>TRAF3</t>
  </si>
  <si>
    <t>CAP-1|CAP1|CD40bp|CRAF1|IIAE5|LAP1|RNF118</t>
  </si>
  <si>
    <t>TRAF3IP1</t>
  </si>
  <si>
    <t>FAP116|IFT54|MIP-T3|MIPT3|SLSN9</t>
  </si>
  <si>
    <t>BLIND (AR);CILIO (AR);LENGTE (AR);LEVER (AR);NIER (AR);OMIM (AR);PCS (AR)</t>
  </si>
  <si>
    <t>TRAF3IP2</t>
  </si>
  <si>
    <t>ACT1|C6orf2|C6orf4|C6orf5|C6orf6|CANDF8|CIKS|PSORS13</t>
  </si>
  <si>
    <t>TRAF6</t>
  </si>
  <si>
    <t>MGC:3310|RNF85</t>
  </si>
  <si>
    <t>TRAF7</t>
  </si>
  <si>
    <t>CAFDADD|RFWD1|RNF119</t>
  </si>
  <si>
    <t>TRAIP</t>
  </si>
  <si>
    <t>RNF206|SCKL9|TRIP</t>
  </si>
  <si>
    <t>TRAK1</t>
  </si>
  <si>
    <t>DEE68|EIEE68|MILT1|OIP106</t>
  </si>
  <si>
    <t>TRAP1</t>
  </si>
  <si>
    <t>HSP 75|HSP75|HSP90L|TRAP-1</t>
  </si>
  <si>
    <t>TRAPPC11</t>
  </si>
  <si>
    <t>C4orf41|FOIGR|GRY|LGMD2S|LGMDR18</t>
  </si>
  <si>
    <t>TRAPPC12</t>
  </si>
  <si>
    <t>CGI-87|PEBAS|TTC-15|TTC15</t>
  </si>
  <si>
    <t>TRAPPC14</t>
  </si>
  <si>
    <t>C7orf43|MAP11|MCPH25</t>
  </si>
  <si>
    <t>MAP11</t>
  </si>
  <si>
    <t>TRAPPC2</t>
  </si>
  <si>
    <t>MIP2A|SEDL|SEDT|TRAPPC2P1|TRS20|ZNF547L|hYP38334</t>
  </si>
  <si>
    <t>LENGTE (XL);OMIM (XL;XLR)</t>
  </si>
  <si>
    <t>TRAPPC2L</t>
  </si>
  <si>
    <t>HSPC176|PERRB</t>
  </si>
  <si>
    <t>TRAPPC4</t>
  </si>
  <si>
    <t>CGI-104|HSPC172|NEDESBA|PTD009|SBDN|SYNBINDIN|TRS23</t>
  </si>
  <si>
    <t>TRAPPC6B</t>
  </si>
  <si>
    <t>NEDMEBA|TPC6</t>
  </si>
  <si>
    <t>TRAPPC9</t>
  </si>
  <si>
    <t>IBP|IKBKBBP|MRT13|NIBP|T1|TRS120</t>
  </si>
  <si>
    <t>TRDN</t>
  </si>
  <si>
    <t>CPVT5|TDN|TRISK</t>
  </si>
  <si>
    <t>TREH</t>
  </si>
  <si>
    <t>TRE|TREA|TREHD</t>
  </si>
  <si>
    <t>TREM2</t>
  </si>
  <si>
    <t>PLOSL2|TREM-2|Trem2a|Trem2b|Trem2c</t>
  </si>
  <si>
    <t>BEWEGING (AR);LENGTE (AR);OMIM (AR;UK,AR,AD,XL);PCS (AR)</t>
  </si>
  <si>
    <t>TREX1</t>
  </si>
  <si>
    <t>AGS1|CRV|DRN3|HERNS|RVCLS</t>
  </si>
  <si>
    <t>BEWEGING (AD,AR);BLIND (AD);DERM (AD,AR);EPI (AD,AR);HEMOS (AD);IMMUUN (AD,AR);MR (AR);OMIM (AR;AD,AR);PCS (AR)</t>
  </si>
  <si>
    <t>TRH</t>
  </si>
  <si>
    <t>Pro-TRH|TRF</t>
  </si>
  <si>
    <t>TRHR</t>
  </si>
  <si>
    <t>CHNG7|TRH-R</t>
  </si>
  <si>
    <t>TRIB1</t>
  </si>
  <si>
    <t>C8FW|GIG-2|GIG2|SKIP1|TRB-1|TRB1</t>
  </si>
  <si>
    <t>TRIM2</t>
  </si>
  <si>
    <t>CMT2R|RNF86</t>
  </si>
  <si>
    <t>TRIM22</t>
  </si>
  <si>
    <t>GPSTAF50|RNF94|STAF50</t>
  </si>
  <si>
    <t>TRIM28</t>
  </si>
  <si>
    <t>KAP1|PPP1R157|RNF96|TF1B|TIF1B</t>
  </si>
  <si>
    <t>TRIM32</t>
  </si>
  <si>
    <t>BBS11|HT2A|LGMD2H|LGMDR8|TATIP</t>
  </si>
  <si>
    <t>BLIND (AR);CILIO (AR);DERM (AR);MR (AR);NIER (AR);OMIM (AR);PCS (AR);SPIER (AR)</t>
  </si>
  <si>
    <t>TRIM36</t>
  </si>
  <si>
    <t>ANPH|HAPRIN|RBCC728|RNF98</t>
  </si>
  <si>
    <t>TRIM37</t>
  </si>
  <si>
    <t>MUL|POB1|TEF3</t>
  </si>
  <si>
    <t>DERM (AR);OMIM (AR);PCS (AR);SCHISIS (AR);TUMOR (AR)</t>
  </si>
  <si>
    <t>TRIM44</t>
  </si>
  <si>
    <t>AN3|DIPB|HSA249128|MC7</t>
  </si>
  <si>
    <t>TRIM63</t>
  </si>
  <si>
    <t>IRF|MURF1|MURF2|RNF28|SMRZ</t>
  </si>
  <si>
    <t>TRIM8</t>
  </si>
  <si>
    <t>GERP|RNF27</t>
  </si>
  <si>
    <t>TRIO</t>
  </si>
  <si>
    <t>ARHGEF23|MEBAS|MRD44|MRD63|tgat</t>
  </si>
  <si>
    <t>TRIOBP</t>
  </si>
  <si>
    <t>DFNB28|HRIHFB2122|TAP68|TARA|dJ37E16.4</t>
  </si>
  <si>
    <t>TRIP11</t>
  </si>
  <si>
    <t>ACG1A|CEV14|GMAP-210|GMAP210|ODCD|TRIP-11|TRIP230</t>
  </si>
  <si>
    <t>TRIP12</t>
  </si>
  <si>
    <t>MRD49|TRIP-12|TRIPC|ULF</t>
  </si>
  <si>
    <t>TRIP13</t>
  </si>
  <si>
    <t>16E1BP|MVA3|OOMD9</t>
  </si>
  <si>
    <t>TRIP4</t>
  </si>
  <si>
    <t>ASC-1|ASC1|HsT17391|MDCDC|SMABF1|ZC2HC5</t>
  </si>
  <si>
    <t>TRIT1</t>
  </si>
  <si>
    <t>COXPD35|GRO1|IPPT|IPT|IPTase|MOD5|hGRO1</t>
  </si>
  <si>
    <t>TRMT1</t>
  </si>
  <si>
    <t>MRT68|TRM1</t>
  </si>
  <si>
    <t>TRMT10A</t>
  </si>
  <si>
    <t>HEL-S-88|MSSGM|MSSGM1|RG9MTD2|TRM10</t>
  </si>
  <si>
    <t>TRMT10C</t>
  </si>
  <si>
    <t>COXPD30|HNYA|MRPP1|RG9MTD1</t>
  </si>
  <si>
    <t>TRMT5</t>
  </si>
  <si>
    <t>COXPD26|KIAA1393|TRM5</t>
  </si>
  <si>
    <t>TRMU</t>
  </si>
  <si>
    <t>LCAL3|MTO2|MTU1|TRMT|TRMT1</t>
  </si>
  <si>
    <t>LEVER (AR);OMIM (AR);OXPHOS (AR);PCS (AR)</t>
  </si>
  <si>
    <t>TRNT1</t>
  </si>
  <si>
    <t>CCA1|CGI-47|MtCCA|RPEM|SIFD</t>
  </si>
  <si>
    <t>BLIND (AR);IJZER (AR);IMMUUN (AR);MR (AR);OMIM (AR);OXPHOS (AR);PCS (AR)</t>
  </si>
  <si>
    <t>TRPA1</t>
  </si>
  <si>
    <t>ANKTM1|FEPS|FEPS1</t>
  </si>
  <si>
    <t>TRPC3</t>
  </si>
  <si>
    <t>SCA41|TRP3</t>
  </si>
  <si>
    <t>TRPC6</t>
  </si>
  <si>
    <t>FSGS2|TRP6</t>
  </si>
  <si>
    <t>TRPM1</t>
  </si>
  <si>
    <t>CSNB1C|LTRPC1|MLSN1</t>
  </si>
  <si>
    <t>TRPM3</t>
  </si>
  <si>
    <t>GON-2|LTRPC3|MLSN2</t>
  </si>
  <si>
    <t>TRPM4</t>
  </si>
  <si>
    <t>EKVP6|LTrpC4|PFHB1B|TRPM4B|hTRPM4</t>
  </si>
  <si>
    <t>DERM (AD);HART (AD);OMIM (AD)</t>
  </si>
  <si>
    <t>TRPM6</t>
  </si>
  <si>
    <t>CHAK2|HMGX|HOMG|HOMG1|HSH</t>
  </si>
  <si>
    <t>TRPM8</t>
  </si>
  <si>
    <t>LTRPC6|LTrpC-6|TRPP8|trp-p8</t>
  </si>
  <si>
    <t>TRPS1</t>
  </si>
  <si>
    <t>GC79|LGCR</t>
  </si>
  <si>
    <t>TRPV1</t>
  </si>
  <si>
    <t>VR1</t>
  </si>
  <si>
    <t>TRPV3</t>
  </si>
  <si>
    <t>FNEPPK2|OLMS|OLMS1|VRL3</t>
  </si>
  <si>
    <t>DERM (AD);HNPD (AD);OMIM (AD)</t>
  </si>
  <si>
    <t>TRPV4</t>
  </si>
  <si>
    <t>BCYM3|CMT2C|HMSN2C|OTRPC4|SMAL|SPSMA|SSQTL1|TRP12|VRL2|VROAC</t>
  </si>
  <si>
    <t>AKI (AD);HMSN (AD);HNPD (AD);LENGTE (AD);OMIM (AD);SPIER (AD)</t>
  </si>
  <si>
    <t>TRPV6</t>
  </si>
  <si>
    <t>ABP/ZF|CAT1|CATL|ECAC2|HRPTTN|HSA277909|LP6728|ZFAB</t>
  </si>
  <si>
    <t>TRRAP</t>
  </si>
  <si>
    <t>DEDDFA|DFNA75|PAF350/400|PAF400|STAF40|TR-AP|Tra1</t>
  </si>
  <si>
    <t>TSC1</t>
  </si>
  <si>
    <t>LAM|TSC</t>
  </si>
  <si>
    <t>DERM (AD);EPI (AD);MR (AD);NIER (AD);OMIM (AD);TUMOR (AD)</t>
  </si>
  <si>
    <t>TSC2</t>
  </si>
  <si>
    <t>LAM|PPP1R160|TSC4</t>
  </si>
  <si>
    <t>ANEURYSM (AD);DERM (AD);EPI (AD);MR (AD);NIER (AD);OMIM (AD);TUMOR (AD)</t>
  </si>
  <si>
    <t>TSEN15</t>
  </si>
  <si>
    <t>C1orf19|PCH2F|sen15</t>
  </si>
  <si>
    <t>TSEN2</t>
  </si>
  <si>
    <t>PCH2B|SEN2|SEN2L</t>
  </si>
  <si>
    <t>TSEN34</t>
  </si>
  <si>
    <t>LENG5|PCH2C|SEN34|SEN34L</t>
  </si>
  <si>
    <t>TSEN54</t>
  </si>
  <si>
    <t>PCH2A|PCH4|PCH5|SEN54L|sen54</t>
  </si>
  <si>
    <t>TSFM</t>
  </si>
  <si>
    <t>EFTS|EFTSMT</t>
  </si>
  <si>
    <t>HART (AR);MR (AR);OMIM (AR);OXPHOS (AR);PCS (AR)</t>
  </si>
  <si>
    <t>TSGA10</t>
  </si>
  <si>
    <t>CEP4L|CT79|SPGF26</t>
  </si>
  <si>
    <t>TSHB</t>
  </si>
  <si>
    <t>TSH-B|TSH-BETA</t>
  </si>
  <si>
    <t>TSHR</t>
  </si>
  <si>
    <t>CHNG1|LGR3|hTSHR-I</t>
  </si>
  <si>
    <t>TSHZ1</t>
  </si>
  <si>
    <t>CAA|NY-CO-33|SDCCAG33|TSH1</t>
  </si>
  <si>
    <t>CFA (AD);DOOF (AD);OMIM (AD)</t>
  </si>
  <si>
    <t>TSPAN12</t>
  </si>
  <si>
    <t>EVR5|NET-2|NET2|TM4SF12</t>
  </si>
  <si>
    <t>TSPAN7</t>
  </si>
  <si>
    <t>A15|CCG-B7|CD231|DXS1692E|MRX58|MXS1|TALLA-1|TM4SF2|TM4SF2b</t>
  </si>
  <si>
    <t>TSPEAR</t>
  </si>
  <si>
    <t>C21orf29|DFNB98|ECTD14|TSP-EAR</t>
  </si>
  <si>
    <t>TSPYL1</t>
  </si>
  <si>
    <t>TSPYL</t>
  </si>
  <si>
    <t>TSR2</t>
  </si>
  <si>
    <t>DBA14|DT1P1A10|WGG1</t>
  </si>
  <si>
    <t>BMF (XL);OMIM (XL;XLR)</t>
  </si>
  <si>
    <t>TTBK2</t>
  </si>
  <si>
    <t>SCA11|TTBK</t>
  </si>
  <si>
    <t>BEWEGING (AD);CILIO (AD);OMIM (AD)</t>
  </si>
  <si>
    <t>TTC19</t>
  </si>
  <si>
    <t>2010204O13Rik|MC3DN2</t>
  </si>
  <si>
    <t>TTC21A</t>
  </si>
  <si>
    <t>IFT139A|SPGF37|STI2</t>
  </si>
  <si>
    <t>TTC21B</t>
  </si>
  <si>
    <t>ATD4|FAP60|FLA17|IFT139|IFT139B|JBTS11|NPHP12|Nbla10696|SRTD4|THM1</t>
  </si>
  <si>
    <t>CILIO (AR);LENGTE (AD,AR);NIER (AR);OMIM (AR;AD,AR);PCS (AR)</t>
  </si>
  <si>
    <t>TTC26</t>
  </si>
  <si>
    <t>DYF13|IFT56|dyf-13</t>
  </si>
  <si>
    <t>TTC37</t>
  </si>
  <si>
    <t>KIAA0372|Ski3|THES</t>
  </si>
  <si>
    <t>DERM (AR);IMMUUN (AR);LEVER (AR);MR (AR);OMIM (AR);PCS (AR)</t>
  </si>
  <si>
    <t>TTC5</t>
  </si>
  <si>
    <t>Strap</t>
  </si>
  <si>
    <t>TTC7A</t>
  </si>
  <si>
    <t>GIDID|MINAT|TTC7</t>
  </si>
  <si>
    <t>TTC8</t>
  </si>
  <si>
    <t>BBS8|RP51</t>
  </si>
  <si>
    <t>TTI2</t>
  </si>
  <si>
    <t>C8orf41|MRT39</t>
  </si>
  <si>
    <t>TTLL5</t>
  </si>
  <si>
    <t>CORD19|KIAA0998|STAMP</t>
  </si>
  <si>
    <t>TTN</t>
  </si>
  <si>
    <t>CMD1G|CMH9|CMPD4|EOMFC|HMERF|LGMD2J|LGMDR10|MYLK5|SALMY|TMD</t>
  </si>
  <si>
    <t>AKI (AR);HART (AD,AR);OMIM (AD,AR);SPIER (AD,AR)</t>
  </si>
  <si>
    <t>TTPA</t>
  </si>
  <si>
    <t>ATTP|AVED|TTP1|alphaTTP</t>
  </si>
  <si>
    <t>TTR</t>
  </si>
  <si>
    <t>ATTR|CTS|CTS1|HEL111|HsT2651|PALB|TBPA|TTN</t>
  </si>
  <si>
    <t>HART (AD);HMSN (AD);HNPD (AD);OMIM (AD)</t>
  </si>
  <si>
    <t>TUB</t>
  </si>
  <si>
    <t>RDOB|rd5</t>
  </si>
  <si>
    <t>TUBA1A</t>
  </si>
  <si>
    <t>B-ALPHA-1|LIS3|TUBA3</t>
  </si>
  <si>
    <t>AKI (AD);BEWEGING (AD);EPI (AD);MR (AD);OMIM (AD)</t>
  </si>
  <si>
    <t>TUBA3D</t>
  </si>
  <si>
    <t>H2-ALPHA|KTCN9|TUBA2</t>
  </si>
  <si>
    <t>TUBA4A</t>
  </si>
  <si>
    <t>ALS22|H2-ALPHA|TUBA1</t>
  </si>
  <si>
    <t>TUBA8</t>
  </si>
  <si>
    <t>CDCBM8|TUBAL2</t>
  </si>
  <si>
    <t>TUBB</t>
  </si>
  <si>
    <t>CDCBM6|CSCSC1|M40|OK/SW-cl.56|TUBB1|TUBB5</t>
  </si>
  <si>
    <t>BEWEGING (AD);MR (AD);OMIM (AD);SCHISIS (AD)</t>
  </si>
  <si>
    <t>TUBB1</t>
  </si>
  <si>
    <t>TUBB2A</t>
  </si>
  <si>
    <t>CDCBM5|TUBB|TUBB2</t>
  </si>
  <si>
    <t>TUBB2B</t>
  </si>
  <si>
    <t>CDCBM7|PMGYSA|bA506K6.1</t>
  </si>
  <si>
    <t>AKI (AD);EPI (AD);MR (AD);OMIM (AD)</t>
  </si>
  <si>
    <t>TUBB3</t>
  </si>
  <si>
    <t>CDCBM|CDCBM1|CFEOM3|CFEOM3A|FEOM3|TUBB4|beta-4</t>
  </si>
  <si>
    <t>BLIND (AD);HMSN (AD);MR (AD);OMIM (AD);SPIER (AD)</t>
  </si>
  <si>
    <t>TUBB4A</t>
  </si>
  <si>
    <t>DYT4|TUBB4|beta-5</t>
  </si>
  <si>
    <t>TUBB4B</t>
  </si>
  <si>
    <t>Beta2|LCAEOD|TUBB2|TUBB2C</t>
  </si>
  <si>
    <t>BLIND (AD);DOOF (AD);OMIM (AD)</t>
  </si>
  <si>
    <t>TUBB6</t>
  </si>
  <si>
    <t>FPVEPD|HsT1601|TUBB-5</t>
  </si>
  <si>
    <t>TUBB8</t>
  </si>
  <si>
    <t>OOMD|OOMD2|bA631M21.2</t>
  </si>
  <si>
    <t>TUBG1</t>
  </si>
  <si>
    <t>CDCBM4|GCP-1|TUBG|TUBGCP1</t>
  </si>
  <si>
    <t>TUBGCP2</t>
  </si>
  <si>
    <t>ALP4|GCP-2|GCP2|Grip103|PAMDDFS|SPBC97|SPC97|Spc97p|h103p|hGCP2|hSpc97</t>
  </si>
  <si>
    <t>TUBGCP4</t>
  </si>
  <si>
    <t>76P|GCP-4|GCP4|Grip76|MCCRP3</t>
  </si>
  <si>
    <t>TUBGCP6</t>
  </si>
  <si>
    <t>GCP-6|GCP6|MCCRP|MCCRP1|MCPHCR</t>
  </si>
  <si>
    <t>TUFM</t>
  </si>
  <si>
    <t>COXPD4|EF-TuMT|EFTU|P43</t>
  </si>
  <si>
    <t>TULP1</t>
  </si>
  <si>
    <t>LCA15|RP14|TUBL1</t>
  </si>
  <si>
    <t>TUSC3</t>
  </si>
  <si>
    <t>D8S1992|M33|MRT22|MRT7|MagT2|N33|OST3A|SLC58A2</t>
  </si>
  <si>
    <t>TWIST1</t>
  </si>
  <si>
    <t>ACS3|BPES2|BPES3|CRS|CRS1|CSO|SCS|SWCOS|TWIST|bHLHa38</t>
  </si>
  <si>
    <t>TWIST2</t>
  </si>
  <si>
    <t>AMS|BBRSAY|DERMO1|FFDD3|SETLSS|bHLHa39</t>
  </si>
  <si>
    <t>TWNK</t>
  </si>
  <si>
    <t>ATXN8|C10orf2|IOSCA|MTDPS7|PEO|PEO1|PEOA3|PRLTS5|SANDO|SCA8|TWINL</t>
  </si>
  <si>
    <t>BEWEGING (AD,AR);DOOF (AR);DSD (AR);HMSN (AR);LEVER (AR);MR (AD,AR);OMIM (AD,AR);OXPHOS (AD);PCS (AR);SPIER (AD,AR)</t>
  </si>
  <si>
    <t>TXN2</t>
  </si>
  <si>
    <t>COXPD29|MT-TRX|MTRX|TRX2|TXN</t>
  </si>
  <si>
    <t>TXNL4A</t>
  </si>
  <si>
    <t>BMKS|DIB1|DIM1|SNRNP15|TXNL4|U5-15kD</t>
  </si>
  <si>
    <t>TXNRD2</t>
  </si>
  <si>
    <t>GCCD5|SELZ|TR|TR-BETA|TR3|TRXR2</t>
  </si>
  <si>
    <t>DSD (AR);HART (AD);OMIM (AR;AD)</t>
  </si>
  <si>
    <t>TYK2</t>
  </si>
  <si>
    <t>IMD35|JTK1</t>
  </si>
  <si>
    <t>BMF (AD,AR);IMMUUN (AR);OMIM (AR;AD,AR);PCS (AR)</t>
  </si>
  <si>
    <t>TYMP</t>
  </si>
  <si>
    <t>ECGF|ECGF1|MEDPS1|MNGIE|MTDPS1|PDECGF|TP|hPD-ECGF</t>
  </si>
  <si>
    <t>TYMS</t>
  </si>
  <si>
    <t>HST422|TMS|TS</t>
  </si>
  <si>
    <t>TYR</t>
  </si>
  <si>
    <t>ATN|CMM8|OCA1|OCA1A|OCAIA|SHEP3</t>
  </si>
  <si>
    <t>BLIND (AR);DERM (AR);DOOF (AD);METAB (AR);OMIM (AR;AD,AR);PCS (AR)</t>
  </si>
  <si>
    <t>TYROBP</t>
  </si>
  <si>
    <t>DAP12|KARAP|PLOSL|PLOSL1</t>
  </si>
  <si>
    <t>BEWEGING (AR);LENGTE (AR);OMIM (AR);PCS (AR)</t>
  </si>
  <si>
    <t>TYRP1</t>
  </si>
  <si>
    <t>CAS2|CATB|GP75|OCA3|TRP|TRP1|TYRP|b-PROTEIN</t>
  </si>
  <si>
    <t>BLIND (AR);DERM (AR);METAB (AR);OMIM (AR);PCS (AR)</t>
  </si>
  <si>
    <t>U2AF2</t>
  </si>
  <si>
    <t>U2AF65</t>
  </si>
  <si>
    <t>UBA1</t>
  </si>
  <si>
    <t>A1S9|A1S9T|A1ST|AMCX1|CFAP124|GXP1|POC20|SMAX2|UBA1A|UBE1|UBE1X|VEXAS</t>
  </si>
  <si>
    <t>AKI (XLR);BMF (UK,AR,AD,XL);IMMUUN (UK,AR,AD,XL);OMIM (XLR;UK,AR,AD,XL);SPIER (XL)</t>
  </si>
  <si>
    <t>UBA5</t>
  </si>
  <si>
    <t>DEE44|EIEE44|SCAR24|THIFP1|UBE1DC1</t>
  </si>
  <si>
    <t>EPI (AR);HMSN (AR);MR (AR);OMIM (AR);PCS (AR)</t>
  </si>
  <si>
    <t>UBAP1</t>
  </si>
  <si>
    <t>NAG20|SPG80|UAP|UBAP|UBAP-1</t>
  </si>
  <si>
    <t>UBB</t>
  </si>
  <si>
    <t>HEL-S-50</t>
  </si>
  <si>
    <t>UBE2A</t>
  </si>
  <si>
    <t>HHR6A|MRXS30|MRXSN|RAD6A|UBC2</t>
  </si>
  <si>
    <t>DERM (XL);MR (XL);OMIM (XLR)</t>
  </si>
  <si>
    <t>UBE2T</t>
  </si>
  <si>
    <t>FANCT|HSPC150|PIG50</t>
  </si>
  <si>
    <t>UBE3A</t>
  </si>
  <si>
    <t>ANCR|AS|E6-AP|EPVE6AP|HPVE6A</t>
  </si>
  <si>
    <t>EPI (AD);MR (AD,IMP);OMIM (AD,IMP)</t>
  </si>
  <si>
    <t>UBE3B</t>
  </si>
  <si>
    <t>BPIDS|KOS</t>
  </si>
  <si>
    <t>UBIAD1</t>
  </si>
  <si>
    <t>SCCD|TERE1</t>
  </si>
  <si>
    <t>UBQLN2</t>
  </si>
  <si>
    <t>ALS15|CHAP1|DSK2|HRIHFB2157|N4BP4|PLIC2</t>
  </si>
  <si>
    <t>ALS (XL);OMIM (XL)</t>
  </si>
  <si>
    <t>UBR1</t>
  </si>
  <si>
    <t>JBS</t>
  </si>
  <si>
    <t>DERM (AR);LEVER (AR);MR (AR);OMIM (AR);PCS (AR)</t>
  </si>
  <si>
    <t>UBTF</t>
  </si>
  <si>
    <t>CONDBA|NOR-90|UBF|UBF-1|UBF1|UBF2</t>
  </si>
  <si>
    <t>UCHL1</t>
  </si>
  <si>
    <t>HEL-117|HEL-S-53|NDGOA|PARK5|PGP 9.5|PGP9.5|PGP95|SPG79|Uch-L1</t>
  </si>
  <si>
    <t>UFC1</t>
  </si>
  <si>
    <t>HSPC155|NEDSG</t>
  </si>
  <si>
    <t>UFM1</t>
  </si>
  <si>
    <t>BM-002|C13orf20|HLD14</t>
  </si>
  <si>
    <t>UFSP2</t>
  </si>
  <si>
    <t>BHD|C4orf20|SEMDDR</t>
  </si>
  <si>
    <t>UGDH</t>
  </si>
  <si>
    <t>DEE84|EIEE84|GDH|UDP-GlcDH|UDPGDH|UGD</t>
  </si>
  <si>
    <t>UGP2</t>
  </si>
  <si>
    <t>DEE83|EIEE83|SVUGP2|UDPG|UDPGP|UDPGP2|UGP1|UGPP1|UGPP2|pHC379</t>
  </si>
  <si>
    <t>EPI (AR);MR (AR);OMIM (AR)</t>
  </si>
  <si>
    <t>UGT1A1</t>
  </si>
  <si>
    <t>BILIQTL1|GNT1|HUG-BR1|UDPGT|UDPGT 1-1|UGT1|UGT1A</t>
  </si>
  <si>
    <t>UMOD</t>
  </si>
  <si>
    <t>ADMCKD2|ADTKD1|FJHN|HNFJ|HNFJ1|MCKD2|THGP|THP</t>
  </si>
  <si>
    <t>UMPS</t>
  </si>
  <si>
    <t>OPRT</t>
  </si>
  <si>
    <t>UNC119</t>
  </si>
  <si>
    <t>HRG4|IMD13|POC7|POC7A</t>
  </si>
  <si>
    <t>UNC13A</t>
  </si>
  <si>
    <t>Munc13-1</t>
  </si>
  <si>
    <t>UNC13D</t>
  </si>
  <si>
    <t>FHL3|HLH3|HPLH3|Munc13-4</t>
  </si>
  <si>
    <t>UNC45B</t>
  </si>
  <si>
    <t>CMYA4|CTRCT43|MFM11|SMUNC45|UNC-45B|UNC45</t>
  </si>
  <si>
    <t>UNC80</t>
  </si>
  <si>
    <t>C2orf21|UNC-80</t>
  </si>
  <si>
    <t>UNC93B1</t>
  </si>
  <si>
    <t>IIAE1|UNC93|UNC93B|Unc-93B1</t>
  </si>
  <si>
    <t>UNG</t>
  </si>
  <si>
    <t>DGU|HIGM4|HIGM5|UDG|UNG1|UNG15|UNG2</t>
  </si>
  <si>
    <t>UPB1</t>
  </si>
  <si>
    <t>BUP1</t>
  </si>
  <si>
    <t>UPF3B</t>
  </si>
  <si>
    <t>HUPF3B|MRX62|MRX82|MRXS14|RENT3B|UPF3BP1|UPF3BP2|UPF3BP3|UPF3X|Upf3p-X</t>
  </si>
  <si>
    <t>ANEURYSM (XLR);MR (XL);OMIM (XLR)</t>
  </si>
  <si>
    <t>UPK3A</t>
  </si>
  <si>
    <t>UP3A|UPIII|UPIIIA|UPK3</t>
  </si>
  <si>
    <t>UQCC1</t>
  </si>
  <si>
    <t>BFZB|C20orf44|CBP3|UQCC</t>
  </si>
  <si>
    <t>UQCC2</t>
  </si>
  <si>
    <t>C6orf125|C6orf126|Cbp6|M19|MC3DN7|MNF1|bA6B20.2</t>
  </si>
  <si>
    <t>UQCC3</t>
  </si>
  <si>
    <t>C11orf83|CCDS41658.1|MC3DN9|UNQ655</t>
  </si>
  <si>
    <t>UQCR10</t>
  </si>
  <si>
    <t>HSPC051|HSPC119|HSPC151|QCR9|UCCR7.2|UCRC</t>
  </si>
  <si>
    <t>UQCR11</t>
  </si>
  <si>
    <t>0710008D09Rik|QCR10|UQCR</t>
  </si>
  <si>
    <t>UQCRB</t>
  </si>
  <si>
    <t>MC3DN3|QCR7|QP-C|QPC|UQBC|UQBP|UQCR6|UQPC</t>
  </si>
  <si>
    <t>UQCRC1</t>
  </si>
  <si>
    <t>D3S3191|QCR1|UQCR1</t>
  </si>
  <si>
    <t>HMSN (AD);OMIM (AD;AR);OXPHOS (AR)</t>
  </si>
  <si>
    <t>UQCRC2</t>
  </si>
  <si>
    <t>MC3DN5|QCR2|UQCR2</t>
  </si>
  <si>
    <t>UQCRFS1</t>
  </si>
  <si>
    <t>MC3DN10|RIP1|RIS1|RISP|UQCR5</t>
  </si>
  <si>
    <t>UQCRH</t>
  </si>
  <si>
    <t>QCR6|UQCR8</t>
  </si>
  <si>
    <t>UQCRQ</t>
  </si>
  <si>
    <t>MC3DN4|QCR8|QP-C|QPC|UQCR7</t>
  </si>
  <si>
    <t>UROC1</t>
  </si>
  <si>
    <t>HMFN0320|UROCD</t>
  </si>
  <si>
    <t>UROD</t>
  </si>
  <si>
    <t>PCT|UPD</t>
  </si>
  <si>
    <t>UROS</t>
  </si>
  <si>
    <t>UROIIIS</t>
  </si>
  <si>
    <t>DERM (AR);IJZER (AR);METAB (AR);OMIM (AR);PCS (AR)</t>
  </si>
  <si>
    <t>USB1</t>
  </si>
  <si>
    <t>C16orf57|HVSL1|Mpn1|PN|hUsb1</t>
  </si>
  <si>
    <t>BMF (AR);DERM (AR);DKC (AR);IMMUUN (AR);OMIM (AR);PCS (AR);TUMOR (AR)</t>
  </si>
  <si>
    <t>USH1C</t>
  </si>
  <si>
    <t>AIE-75|DFNB18|DFNB18A|NY-CO-37|NY-CO-38|PDZ-45|PDZ-73|PDZ-73/NY-CO-38|PDZ73|PDZD7C|ush1cpst</t>
  </si>
  <si>
    <t>USH1G</t>
  </si>
  <si>
    <t>ANKS4A|SANS</t>
  </si>
  <si>
    <t>USH2A</t>
  </si>
  <si>
    <t>RP39|US2|USH2|dJ1111A8.1</t>
  </si>
  <si>
    <t>USP18</t>
  </si>
  <si>
    <t>ISG43|PTORCH2|UBP43</t>
  </si>
  <si>
    <t>USP27X</t>
  </si>
  <si>
    <t>MRX105|USP22L|USP27</t>
  </si>
  <si>
    <t>USP45</t>
  </si>
  <si>
    <t>LCA19</t>
  </si>
  <si>
    <t>USP48</t>
  </si>
  <si>
    <t>RAP1GA1|USP31</t>
  </si>
  <si>
    <t>USP7</t>
  </si>
  <si>
    <t>HAFOUS|HAUSP|TEF1</t>
  </si>
  <si>
    <t>USP8</t>
  </si>
  <si>
    <t>HumORF8|PITA4|SPG59|UBPY</t>
  </si>
  <si>
    <t>USP9X</t>
  </si>
  <si>
    <t>DFFRX|FAF|FAM|MRX99|MRXS99F</t>
  </si>
  <si>
    <t>MR (XL);OMIM (XL);SCHISIS (XL)</t>
  </si>
  <si>
    <t>USP9Y</t>
  </si>
  <si>
    <t>DFFRY|SPGFY2</t>
  </si>
  <si>
    <t>UST</t>
  </si>
  <si>
    <t>2OST</t>
  </si>
  <si>
    <t>UVSSA</t>
  </si>
  <si>
    <t>KIAA1530|UVSS3</t>
  </si>
  <si>
    <t>VAC14</t>
  </si>
  <si>
    <t>ArPIKfyve|TAX1BP2|TRX</t>
  </si>
  <si>
    <t>VAMP1</t>
  </si>
  <si>
    <t>CMS25|SPAX1|SYB1|VAMP-1</t>
  </si>
  <si>
    <t>VAMP2</t>
  </si>
  <si>
    <t>NEDHAHM|SYB2|VAMP-2</t>
  </si>
  <si>
    <t>VANGL1</t>
  </si>
  <si>
    <t>KITENIN|LPP2|STB2|STBM2</t>
  </si>
  <si>
    <t>VANGL2</t>
  </si>
  <si>
    <t>LPP1|LTAP|STB1|STBM|STBM1</t>
  </si>
  <si>
    <t>VAPB</t>
  </si>
  <si>
    <t>ALS8|VAMP-B|VAP-B</t>
  </si>
  <si>
    <t>VARS1</t>
  </si>
  <si>
    <t>G7A|NDMSCA|VARS|VARS2</t>
  </si>
  <si>
    <t>VARS2</t>
  </si>
  <si>
    <t>COXPD20|VALRS|VARS2L|VARSL</t>
  </si>
  <si>
    <t>VAV1</t>
  </si>
  <si>
    <t>VAV</t>
  </si>
  <si>
    <t>VAX1</t>
  </si>
  <si>
    <t>MCOPS11</t>
  </si>
  <si>
    <t>BLIND (AR);CFA (AR);OMIM (AR);PCS (AR)</t>
  </si>
  <si>
    <t>VCAN</t>
  </si>
  <si>
    <t>CSPG2|ERVR|GHAP|PG-M|WGN|WGN1</t>
  </si>
  <si>
    <t>ANEURYSM (AD);BLIND (AD);OMIM (AD)</t>
  </si>
  <si>
    <t>VCL</t>
  </si>
  <si>
    <t>CMD1W|CMH15|HEL114|MV|MVCL</t>
  </si>
  <si>
    <t>VCP</t>
  </si>
  <si>
    <t>CDC48|FTDALS6|TERA|p97</t>
  </si>
  <si>
    <t>ALS (AD);BEWEGING (AD);HMSN (AD);OMIM (AD);SPIER (AD)</t>
  </si>
  <si>
    <t>VDR</t>
  </si>
  <si>
    <t>NR1I1|PPP1R163</t>
  </si>
  <si>
    <t>DERM (AR);LENGTE (AR);NIER (AR);OMIM (AR);PCS (AR)</t>
  </si>
  <si>
    <t>VEGFC</t>
  </si>
  <si>
    <t>Flt4-L|LMPH1D|LMPHM4|VRP</t>
  </si>
  <si>
    <t>VHL</t>
  </si>
  <si>
    <t>HRCA1|RCA1|VHL1|pVHL</t>
  </si>
  <si>
    <t>CILIO (AD,AR);DERM (AD,AR);OMIM (AD;AD,AR);PCS (AR);TUMOR (AD)</t>
  </si>
  <si>
    <t>VIM</t>
  </si>
  <si>
    <t>VIPAS39</t>
  </si>
  <si>
    <t>C14orf133|SPE-39|SPE39|VIPAR|VPS16B|hSPE-39</t>
  </si>
  <si>
    <t>AKI (AR);HEMOS (AR);LEVER (AR);NIER (AR);OMIM (AR);PCS (AR);SPIER (AR)</t>
  </si>
  <si>
    <t>VKORC1</t>
  </si>
  <si>
    <t>EDTP308|MST134|MST576|VKCFD2|VKOR</t>
  </si>
  <si>
    <t>HEMOS (AD,AR);OMIM (AD;AD,AR);PCS (AR)</t>
  </si>
  <si>
    <t>VLDLR</t>
  </si>
  <si>
    <t>CAMRQ1|CARMQ1|CHRMQ1|VLDL-R|VLDLRCH</t>
  </si>
  <si>
    <t>VMA21</t>
  </si>
  <si>
    <t>MEAX|XMEA</t>
  </si>
  <si>
    <t>METAB (XLR);OMIM (XLR);SPIER (XL)</t>
  </si>
  <si>
    <t>VPS11</t>
  </si>
  <si>
    <t>END1|HLD12|PEP5|RNF108|hVPS11</t>
  </si>
  <si>
    <t>VPS13A</t>
  </si>
  <si>
    <t>CHAC|CHOREIN</t>
  </si>
  <si>
    <t>VPS13B</t>
  </si>
  <si>
    <t>CHS1|COH1</t>
  </si>
  <si>
    <t>BLIND (AR);DERM (AR);IMMUUN (AR);METAB (AR);MR (AR);OMIM (AR);PCS (AR)</t>
  </si>
  <si>
    <t>VPS13C</t>
  </si>
  <si>
    <t>PARK23</t>
  </si>
  <si>
    <t>VPS13D</t>
  </si>
  <si>
    <t>SCAR4</t>
  </si>
  <si>
    <t>VPS16</t>
  </si>
  <si>
    <t>hVPS16</t>
  </si>
  <si>
    <t>VPS33A</t>
  </si>
  <si>
    <t>MPSPS</t>
  </si>
  <si>
    <t>VPS33B</t>
  </si>
  <si>
    <t>AKI (AR);DERM (AR);HEMOS (AR);LEVER (AR);NIER (AR);OMIM (AR);PCS (AR)</t>
  </si>
  <si>
    <t>VPS35</t>
  </si>
  <si>
    <t>MEM3|PARK17</t>
  </si>
  <si>
    <t>VPS35L</t>
  </si>
  <si>
    <t>C16orf62|EC97|RTSC3</t>
  </si>
  <si>
    <t>VPS37A</t>
  </si>
  <si>
    <t>HCRP1|PQBP2|SPG53</t>
  </si>
  <si>
    <t>VPS45</t>
  </si>
  <si>
    <t>H1|H1VPS45|SCN5|VPS45A|VPS45B|VPS54A|VSP45|VSP45A</t>
  </si>
  <si>
    <t>VPS51</t>
  </si>
  <si>
    <t>ANG2|ANG3|C11orf2|C11orf3|FFR|PCH13</t>
  </si>
  <si>
    <t>VPS53</t>
  </si>
  <si>
    <t>HCCS1|PCH2E|hVps53L|pp13624</t>
  </si>
  <si>
    <t>VRK1</t>
  </si>
  <si>
    <t>PCH1|PCH1A</t>
  </si>
  <si>
    <t>BEWEGING (AR);HMSN (AR);MR (AR);OMIM (AR);PCS (AR);SPIER (AR)</t>
  </si>
  <si>
    <t>VSX1</t>
  </si>
  <si>
    <t>CAASDS|KTCN|KTCN1|PPCD|PPCD1|PPD|RINX</t>
  </si>
  <si>
    <t>VSX2</t>
  </si>
  <si>
    <t>CHX10|HOX10|MCOP2|MCOPCB3|RET1</t>
  </si>
  <si>
    <t>BLIND (AR);OMIM (UK,AR,AD,XL);PCS (AR)</t>
  </si>
  <si>
    <t>VWA1</t>
  </si>
  <si>
    <t>HMNMYO|WARP</t>
  </si>
  <si>
    <t>VWA3B</t>
  </si>
  <si>
    <t>SCAR22</t>
  </si>
  <si>
    <t>VWF</t>
  </si>
  <si>
    <t>F8VWF|VWD</t>
  </si>
  <si>
    <t>WAC</t>
  </si>
  <si>
    <t>BM-016|DESSH|PRO1741|Wwp4</t>
  </si>
  <si>
    <t>WARS1</t>
  </si>
  <si>
    <t>GAMMA-2|HMN9|IFI53|IFP53|WARS</t>
  </si>
  <si>
    <t>HMSN (UK,AR,AD,XL);OMIM (AD;UK,AR,AD,XL)</t>
  </si>
  <si>
    <t>WARS2</t>
  </si>
  <si>
    <t>NEMMLAS|TrpRS|mtTrpRS</t>
  </si>
  <si>
    <t>WAS</t>
  </si>
  <si>
    <t>IMD2|SCNX|THC|THC1|WASP|WASPA</t>
  </si>
  <si>
    <t>BMF (XL);DERM (XL);HEMOS (XL);IMMUUN (XL);OMIM (XL;XLR);TUMOR (XL)</t>
  </si>
  <si>
    <t>WASF1</t>
  </si>
  <si>
    <t>NEDALVS|SCAR1|WAVE|WAVE1</t>
  </si>
  <si>
    <t>WASHC4</t>
  </si>
  <si>
    <t>KIAA1033|MRT43|SWIP</t>
  </si>
  <si>
    <t>WASHC5</t>
  </si>
  <si>
    <t>KIAA0196|RTSC|RTSC1|SPG8</t>
  </si>
  <si>
    <t>BEWEGING (AD);OMIM (AD;AR;AD,AR);PCS (AR);SCHISIS (AR)</t>
  </si>
  <si>
    <t>WBP2</t>
  </si>
  <si>
    <t>DFNB107|GRAMD6|WBP-2</t>
  </si>
  <si>
    <t>WDFY3</t>
  </si>
  <si>
    <t>ALFY|BCHS|MCPH18|ZFYVE25</t>
  </si>
  <si>
    <t>WDPCP</t>
  </si>
  <si>
    <t>BBS15|C2orf86|CHDTHP|CPLANE5|FRITZ|FRTZ</t>
  </si>
  <si>
    <t>BLIND (AR);CILIO (AR);MR (AR);OMIM (AR);PCS (AR)</t>
  </si>
  <si>
    <t>WDR1</t>
  </si>
  <si>
    <t>AIP1|HEL-S-52|NORI-1|PFITS</t>
  </si>
  <si>
    <t>WDR11</t>
  </si>
  <si>
    <t>BRWD2|DR11|HH14|SRI1|WDR15</t>
  </si>
  <si>
    <t>WDR13</t>
  </si>
  <si>
    <t>MG21</t>
  </si>
  <si>
    <t>WDR19</t>
  </si>
  <si>
    <t>ATD5|CED4|DYF-2|FAP66|IFT144|NPHP13|ORF26|Oseg6|PWDMP|SRTD5</t>
  </si>
  <si>
    <t>BLIND (AR);CFA (AR);CILIO (AR);DERM (AD);LENGTE (AR);NIER (AR);OMIM (AR;AD);PCS (AR)</t>
  </si>
  <si>
    <t>WDR26</t>
  </si>
  <si>
    <t>CDW2|GID7|MIP2|SKDEAS</t>
  </si>
  <si>
    <t>WDR35</t>
  </si>
  <si>
    <t>CED2|FAP118|IFT121|IFTA1|SRTD7</t>
  </si>
  <si>
    <t>CFA (AR);CILIO (AR);DERM (AR);LENGTE (AR);NIER (AR);OMIM (AR);PCS (AR);SCHISIS (AR)</t>
  </si>
  <si>
    <t>WDR36</t>
  </si>
  <si>
    <t>GLC1G|TA-WDRP|TAWDRP|UTP21</t>
  </si>
  <si>
    <t>WDR37</t>
  </si>
  <si>
    <t>NOCGUS</t>
  </si>
  <si>
    <t>WDR4</t>
  </si>
  <si>
    <t>GAMOS6|MIGSB|TRM82|TRMT82|hWH</t>
  </si>
  <si>
    <t>WDR45</t>
  </si>
  <si>
    <t>JM5|NBIA4|NBIA5|WDRX1|WIPI-4|WIPI4</t>
  </si>
  <si>
    <t>BEWEGING (XL);EPI (XL);MR (XL);OMIM (XL);OXPHOS (XL);PARK (XL)</t>
  </si>
  <si>
    <t>WDR45B</t>
  </si>
  <si>
    <t>NEDSBAS|WDR45L|WIPI-3|WIPI3</t>
  </si>
  <si>
    <t>WDR62</t>
  </si>
  <si>
    <t>C19orf14|MCPH2</t>
  </si>
  <si>
    <t>WDR72</t>
  </si>
  <si>
    <t>AI2A3</t>
  </si>
  <si>
    <t>WDR73</t>
  </si>
  <si>
    <t>GAMOS|GAMOS1|HSPC264</t>
  </si>
  <si>
    <t>BEWEGING (AR);MR (AR);NIER (AR);OMIM (AR);PCS (AR)</t>
  </si>
  <si>
    <t>WDR81</t>
  </si>
  <si>
    <t>CAMRQ2|HYC3|PPP1R166|SORF-2</t>
  </si>
  <si>
    <t>WEE2</t>
  </si>
  <si>
    <t>OOMD5|WEE1B</t>
  </si>
  <si>
    <t>WFS1</t>
  </si>
  <si>
    <t>CTRCT41|WFRS|WFS|WFSL</t>
  </si>
  <si>
    <t>BLIND (AD,AR);DOOF (AD,AR);MR (AR);OMIM (AD,AR);PCS (AR)</t>
  </si>
  <si>
    <t>WHRN</t>
  </si>
  <si>
    <t>CIP98|DFNB31|PDZD7B|USH2D|WI</t>
  </si>
  <si>
    <t>WIPF1</t>
  </si>
  <si>
    <t>PRPL-2|WAS2|WASPIP|WIP</t>
  </si>
  <si>
    <t>DERM (AR);HEMOS (AR);IMMUUN (AR);OMIM (AR;UK,AR,AD,XL);PCS (AR)</t>
  </si>
  <si>
    <t>WIPI2</t>
  </si>
  <si>
    <t>ATG18B|Atg21|CGI-50|IDDSSA|WIPI-2</t>
  </si>
  <si>
    <t>WNK1</t>
  </si>
  <si>
    <t>HSAN2|HSN2|KDP|PPP1R167|PRKWNK1|PSK|p65</t>
  </si>
  <si>
    <t>HMSN (AR);HNPD (AR);NIER (AD);OMIM (AR;AD;AD,AR);PCS (AR)</t>
  </si>
  <si>
    <t>WNK4</t>
  </si>
  <si>
    <t>PHA2B|PRKWNK4</t>
  </si>
  <si>
    <t>WNT1</t>
  </si>
  <si>
    <t>BMND16|INT1|OI15</t>
  </si>
  <si>
    <t>ANEURYSM (AD);LENGTE (AR);OMIM (AR;AD);PCS (AR)</t>
  </si>
  <si>
    <t>WNT10A</t>
  </si>
  <si>
    <t>OODD|SSPS|STHAG4</t>
  </si>
  <si>
    <t>CFA (AR);DERM (AD,AR);OMIM (AR;AD,AR);PCS (AR)</t>
  </si>
  <si>
    <t>WNT10B</t>
  </si>
  <si>
    <t>SHFM6|STHAG8|WNT-12</t>
  </si>
  <si>
    <t>CFA (AD,AR);DERM (AR);LENGTE (AR);OMIM (AR;AD,AR);PCS (AR)</t>
  </si>
  <si>
    <t>WNT2B</t>
  </si>
  <si>
    <t>WNT13</t>
  </si>
  <si>
    <t>WNT3</t>
  </si>
  <si>
    <t>INT4|TETAMS</t>
  </si>
  <si>
    <t>WNT4</t>
  </si>
  <si>
    <t>SERKAL|WNT-4</t>
  </si>
  <si>
    <t>DSD (AR);NIER (AD,AR);OMIM (AR;AD,AR);PCS (AR);SCHISIS (AR)</t>
  </si>
  <si>
    <t>WNT5A</t>
  </si>
  <si>
    <t>hWNT5A</t>
  </si>
  <si>
    <t>DERM (AD);LENGTE (AD);OMIM (AD);SCHISIS (AD)</t>
  </si>
  <si>
    <t>WNT6</t>
  </si>
  <si>
    <t>WNT7A</t>
  </si>
  <si>
    <t>Wnt-7a</t>
  </si>
  <si>
    <t>WRAP53</t>
  </si>
  <si>
    <t>DKCB3|TCAB1|WDR79</t>
  </si>
  <si>
    <t>WRN</t>
  </si>
  <si>
    <t>RECQ3|RECQL2|RECQL3</t>
  </si>
  <si>
    <t>BLIND (AR);DERM (AR);OMIM (AR);PCS (AR);TUMOR (AR)</t>
  </si>
  <si>
    <t>WT1</t>
  </si>
  <si>
    <t>AWT1|GUD|NPHS4|WAGR|WIT-2|WT33</t>
  </si>
  <si>
    <t>DSD (AD);NIER (AR);OMIM (AD;UK,AR,AD,XL);TUMOR (AD)</t>
  </si>
  <si>
    <t>WWOX</t>
  </si>
  <si>
    <t>D16S432E|DEE28|EIEE28|FOR|FRA16D|HHCMA56|PRO0128|SCAR12|SDR41C1|WOX1</t>
  </si>
  <si>
    <t>XDH</t>
  </si>
  <si>
    <t>XAN1|XO|XOR</t>
  </si>
  <si>
    <t>XIAP</t>
  </si>
  <si>
    <t>API3|BIRC4|IAP-3|ILP1|MIHA|XLP2|hIAP-3|hIAP3</t>
  </si>
  <si>
    <t>XIRP2</t>
  </si>
  <si>
    <t>CMYA3</t>
  </si>
  <si>
    <t>XIST</t>
  </si>
  <si>
    <t>DXS1089|DXS399E|LINC00001|NCRNA00001|SXI1|swd66</t>
  </si>
  <si>
    <t>XK</t>
  </si>
  <si>
    <t>KX|NA|NAC|X1k|XKR1</t>
  </si>
  <si>
    <t>BEWEGING (XL);EPI (XL);HART (XL);OMIM (XL);SPIER (XL)</t>
  </si>
  <si>
    <t>XPA</t>
  </si>
  <si>
    <t>XP1|XPAC</t>
  </si>
  <si>
    <t>DERM (AR);MR (AR);OMIM (AR);PCS (AR);TUMOR (AR)</t>
  </si>
  <si>
    <t>XPC</t>
  </si>
  <si>
    <t>RAD4|XP3|XPCC|p125</t>
  </si>
  <si>
    <t>XPNPEP3</t>
  </si>
  <si>
    <t>APP3|ICP55|NPHPL1</t>
  </si>
  <si>
    <t>XPO5</t>
  </si>
  <si>
    <t>exp5</t>
  </si>
  <si>
    <t>XPR1</t>
  </si>
  <si>
    <t>IBGC6|SLC53A1|SYG1|X3</t>
  </si>
  <si>
    <t>XRCC1</t>
  </si>
  <si>
    <t>RCC|SCAR26</t>
  </si>
  <si>
    <t>XRCC2</t>
  </si>
  <si>
    <t>FANCU|POF17|SPGF50</t>
  </si>
  <si>
    <t>BMF (AR);BRSTKNK (AD);OMIM (AR;AD);PCS (AR)</t>
  </si>
  <si>
    <t>XRCC4</t>
  </si>
  <si>
    <t>SSMED</t>
  </si>
  <si>
    <t>XYLT1</t>
  </si>
  <si>
    <t>DBQD2|PXYLT1|XT-I|XT1|XTI|XYLTI|xylT-I</t>
  </si>
  <si>
    <t>XYLT2</t>
  </si>
  <si>
    <t>PXYLT2|SOS|XT-II|XT2|xylT-II</t>
  </si>
  <si>
    <t>YAP1</t>
  </si>
  <si>
    <t>COB1|YAP|YAP2|YAP65|YKI</t>
  </si>
  <si>
    <t>YARS1</t>
  </si>
  <si>
    <t>CMTDIC|TYRRS|YARS|YRS|YTS</t>
  </si>
  <si>
    <t>YARS2</t>
  </si>
  <si>
    <t>CGI-04|MLASA2|MT-TYRRS|TYRRS</t>
  </si>
  <si>
    <t>BMF (AR);IJZER (AR);OMIM (AR);OXPHOS (AR);PCS (AR);SPIER (AR)</t>
  </si>
  <si>
    <t>YME1L1</t>
  </si>
  <si>
    <t>FTSH|MEG4|OPA11|PAMP|YME1L</t>
  </si>
  <si>
    <t>YWHAE</t>
  </si>
  <si>
    <t>14-3-3E|HEL2|KCIP-1|MDCR|MDS</t>
  </si>
  <si>
    <t>YWHAG</t>
  </si>
  <si>
    <t>14-3-3GAMMA|DEE56|EIEE56|PPP1R170</t>
  </si>
  <si>
    <t>YWHAZ</t>
  </si>
  <si>
    <t>14-3-3-zeta|HEL-S-3|HEL-S-93|HEL4|KCIP-1|POPCHAS|YWHAD</t>
  </si>
  <si>
    <t>YY1</t>
  </si>
  <si>
    <t>DELTA|GADEVS|INO80S|NF-E1|UCRBP|YIN-YANG-1</t>
  </si>
  <si>
    <t>YY1AP1</t>
  </si>
  <si>
    <t>GRNG|HCCA1|HCCA2|YY1AP</t>
  </si>
  <si>
    <t>ZAP70</t>
  </si>
  <si>
    <t>ADMIO2|IMD48|SRK|STCD|STD|TZK|ZAP-70</t>
  </si>
  <si>
    <t>IMMUUN (AD,AR);OMIM (AR;AD,AR);PCS (AR);SCID (AR)</t>
  </si>
  <si>
    <t>ZBTB11</t>
  </si>
  <si>
    <t>MRT69|ZNF-U69274|ZNF913</t>
  </si>
  <si>
    <t>ZBTB16</t>
  </si>
  <si>
    <t>PLZF|ZNF145</t>
  </si>
  <si>
    <t>ZBTB17</t>
  </si>
  <si>
    <t>MIZ-1|ZNF151|ZNF60|pHZ-67</t>
  </si>
  <si>
    <t>ZBTB18</t>
  </si>
  <si>
    <t>C2H2-171|MRD22|RP58|TAZ-1|ZNF238</t>
  </si>
  <si>
    <t>ZBTB20</t>
  </si>
  <si>
    <t>DPZF|HOF|ODA-8S|PRIMS|ZNF288</t>
  </si>
  <si>
    <t>ZBTB24</t>
  </si>
  <si>
    <t>BIF1|ICF2|PATZ2|ZNF450</t>
  </si>
  <si>
    <t>IMMUUN (AR);MR (AR);OMIM (AR);PCS (AR)</t>
  </si>
  <si>
    <t>ZBTB42</t>
  </si>
  <si>
    <t>LCCS6|ZNF925</t>
  </si>
  <si>
    <t>ZC3H14</t>
  </si>
  <si>
    <t>MRT56|MSUT-2|NY-REN-37|SUT2|UKp68</t>
  </si>
  <si>
    <t>ZC4H2</t>
  </si>
  <si>
    <t>HCA127|KIAA1166|MCS|MRXS4|WRWF|WRWFFR|WWS</t>
  </si>
  <si>
    <t>AKI (XLR);BEWEGING (XL);MR (XL);OMIM (XL;XLR);SPIER (XL)</t>
  </si>
  <si>
    <t>ZCCHC8</t>
  </si>
  <si>
    <t>PFBMFT5</t>
  </si>
  <si>
    <t>ZDHHC9</t>
  </si>
  <si>
    <t>CGI89|CXorf11|DHHC9|MMSA1|MRXSZ|ZDHHC10|ZNF379|ZNF380</t>
  </si>
  <si>
    <t>ANEURYSM (XLR);MR (XL);OMIM (UK,AR,AD,XL;XLR)</t>
  </si>
  <si>
    <t>ZEB1</t>
  </si>
  <si>
    <t>AREB6|BZP|DELTAEF1|FECD6|NIL2A|PPCD3|TCF8|ZFHEP|ZFHX1A</t>
  </si>
  <si>
    <t>ZEB2</t>
  </si>
  <si>
    <t>HSPC082|SIP-1|SIP1|SMADIP1|ZFHX1B</t>
  </si>
  <si>
    <t>CFA (AD);EPI (AD);MR (AD);OMIM (AD);SCHISIS (AD)</t>
  </si>
  <si>
    <t>ZFHX2</t>
  </si>
  <si>
    <t>MARSIS|ZFH-5|ZFH5|ZNF409</t>
  </si>
  <si>
    <t>ZFHX3</t>
  </si>
  <si>
    <t>ATBF1|ATBT|C16orf47|ZFH-3|ZNF927</t>
  </si>
  <si>
    <t>ZFP57</t>
  </si>
  <si>
    <t>C6orf40|TNDM1|ZNF698|bA145L22|bA145L22.2</t>
  </si>
  <si>
    <t>ZFPM2</t>
  </si>
  <si>
    <t>DIH3|FOG2|SRXY9|ZC2HC11B|ZNF89B|hFOG-2</t>
  </si>
  <si>
    <t>ZFYVE26</t>
  </si>
  <si>
    <t>FYVE-CENT|SPG15</t>
  </si>
  <si>
    <t>ZFYVE27</t>
  </si>
  <si>
    <t>PROTRUDIN|SPG33</t>
  </si>
  <si>
    <t>ZIC1</t>
  </si>
  <si>
    <t>BAIDCS|CRS6|ZIC|ZNF201</t>
  </si>
  <si>
    <t>ZIC2</t>
  </si>
  <si>
    <t>HPE5</t>
  </si>
  <si>
    <t>ZIC3</t>
  </si>
  <si>
    <t>HTX|HTX1|VACTERLX|ZNF203</t>
  </si>
  <si>
    <t>CHD (XL);CILIO (XLR);HART (XLR);OMIM (XLR);SCHISIS (XLR)</t>
  </si>
  <si>
    <t>ZMIZ1</t>
  </si>
  <si>
    <t>MIZ|NEDDFSA|RAI17|TRAFIP10|ZIMP10</t>
  </si>
  <si>
    <t>ZMPSTE24</t>
  </si>
  <si>
    <t>FACE-1|FACE1|HGPS|PRO1|STE24|Ste24p</t>
  </si>
  <si>
    <t>AKI (AR);DERM (AD,AR);LENGTE (AR);NIER (AR);OMIM (AR;AD,AR);PCS (AR);SCHISIS (AR)</t>
  </si>
  <si>
    <t>ZMYND10</t>
  </si>
  <si>
    <t>BLU|CILD22|DNAAF7|FLU</t>
  </si>
  <si>
    <t>ZMYND11</t>
  </si>
  <si>
    <t>BRAM1|BS69|MRD30</t>
  </si>
  <si>
    <t>ZMYND15</t>
  </si>
  <si>
    <t>SPGF14</t>
  </si>
  <si>
    <t>ZNF141</t>
  </si>
  <si>
    <t>D4S90|pHZ-44</t>
  </si>
  <si>
    <t>ZNF142</t>
  </si>
  <si>
    <t>HA4654|NEDISHM|pHZ-49</t>
  </si>
  <si>
    <t>ZNF148</t>
  </si>
  <si>
    <t>BERF-1|BFCOL1|GDACCF|HT-BETA|ZBP-89|ZFP148|pHZ-52</t>
  </si>
  <si>
    <t>ZNF292</t>
  </si>
  <si>
    <t>MRD63|MRD64|Nbla00365|ZFP292|ZN-16|Zn-15|bA393I2.3</t>
  </si>
  <si>
    <t>ZNF335</t>
  </si>
  <si>
    <t>MCPH10|NIF-1|NIF1|NIF2</t>
  </si>
  <si>
    <t>ANEURYSM (AD);MR (AR);OMIM (AR;AD);PCS (AR)</t>
  </si>
  <si>
    <t>ZNF341</t>
  </si>
  <si>
    <t>HIES3</t>
  </si>
  <si>
    <t>ZNF407</t>
  </si>
  <si>
    <t>ZNF408</t>
  </si>
  <si>
    <t>EVR6|RP72</t>
  </si>
  <si>
    <t>ZNF41</t>
  </si>
  <si>
    <t>MRX89</t>
  </si>
  <si>
    <t>ZNF423</t>
  </si>
  <si>
    <t>Ebfaz|JBTS19|NPHP14|OAZ|Roaz|ZFP423|Zfp104|hOAZ</t>
  </si>
  <si>
    <t>BLIND (AR);CILIO (AD,AR);NIER (AR);OMIM (AR;AD,AR);PCS (AR)</t>
  </si>
  <si>
    <t>ZNF462</t>
  </si>
  <si>
    <t>WSKA|ZFPIP|Zfp462</t>
  </si>
  <si>
    <t>ZNF469</t>
  </si>
  <si>
    <t>BCS|BCS1|Zfp469</t>
  </si>
  <si>
    <t>ZNF513</t>
  </si>
  <si>
    <t>HMFT0656|RP58|Zfp513</t>
  </si>
  <si>
    <t>ZNF592</t>
  </si>
  <si>
    <t>CAMOS|SCAR5</t>
  </si>
  <si>
    <t>BEWEGING (AR);DERM (AR);OMIM (AR)</t>
  </si>
  <si>
    <t>ZNF644</t>
  </si>
  <si>
    <t>BM-005|MYP21|NatF|ZEP-2</t>
  </si>
  <si>
    <t>ZNF687</t>
  </si>
  <si>
    <t>PDB6</t>
  </si>
  <si>
    <t>ZNF711</t>
  </si>
  <si>
    <t>CMPX1|MRX65|MRX97|ZNF4|ZNF5|ZNF6|Zfp711|dJ75N13.1</t>
  </si>
  <si>
    <t>ZNF750</t>
  </si>
  <si>
    <t>ZFP750</t>
  </si>
  <si>
    <t>ZNHIT3</t>
  </si>
  <si>
    <t>Hit1|PEHO|TRIP3</t>
  </si>
  <si>
    <t>ZP1</t>
  </si>
  <si>
    <t>HEL163|OOMD|OOMD1</t>
  </si>
  <si>
    <t>ZP2</t>
  </si>
  <si>
    <t>OOMD6|ZPA|Zp-2</t>
  </si>
  <si>
    <t>ZP3</t>
  </si>
  <si>
    <t>OOMD3|ZP3A|ZP3B|ZPC|Zp-3</t>
  </si>
  <si>
    <t>ZSWIM6</t>
  </si>
  <si>
    <t>AFND|NEDMAGA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</si>
</sst>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7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N4607" totalsRowShown="0">
  <autoFilter ref="A1:N4607" xr:uid="{00000000-0009-0000-0100-000001000000}"/>
  <tableColumns count="14">
    <tableColumn id="1" xr3:uid="{00000000-0010-0000-0000-000001000000}" name="GeneID_NCBI" dataCellStyle="Hyperlink"/>
    <tableColumn id="3" xr3:uid="{00000000-0010-0000-0000-000003000000}" name="Symbol_HGNC" dataDxfId="1"/>
    <tableColumn id="4" xr3:uid="{00000000-0010-0000-0000-000004000000}" name="Aliases"/>
    <tableColumn id="12" xr3:uid="{00000000-0010-0000-0000-00000C000000}" name="mean_cov_BGI"/>
    <tableColumn id="13" xr3:uid="{00000000-0010-0000-0000-00000D000000}" name="median_cov_BGI"/>
    <tableColumn id="14" xr3:uid="{00000000-0010-0000-0000-00000E000000}" name="perc_cov_BGI_10x"/>
    <tableColumn id="15" xr3:uid="{00000000-0010-0000-0000-00000F000000}" name="perc_cov_BGI_20x"/>
    <tableColumn id="16" xr3:uid="{00000000-0010-0000-0000-000010000000}" name="mean_cov_TWIST"/>
    <tableColumn id="17" xr3:uid="{00000000-0010-0000-0000-000011000000}" name="median_cov_TWIST"/>
    <tableColumn id="18" xr3:uid="{00000000-0010-0000-0000-000012000000}" name="perc_cov_TWIST_10x"/>
    <tableColumn id="19" xr3:uid="{00000000-0010-0000-0000-000013000000}" name="perc_cov_TWIST_20x"/>
    <tableColumn id="20" xr3:uid="{00000000-0010-0000-0000-000014000000}" name="GenePanels_Symbol" dataDxfId="0"/>
    <tableColumn id="21" xr3:uid="{00000000-0010-0000-0000-000015000000}" name="GenePanel"/>
    <tableColumn id="22" xr3:uid="{00000000-0010-0000-0000-000016000000}" name="GenePanel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07"/>
  <sheetViews>
    <sheetView tabSelected="1" topLeftCell="A97" zoomScale="85" zoomScaleNormal="85" workbookViewId="0"/>
  </sheetViews>
  <sheetFormatPr defaultRowHeight="15" x14ac:dyDescent="0.25"/>
  <cols>
    <col min="1" max="1" width="15.28515625" style="3" customWidth="1"/>
    <col min="2" max="2" width="16.28515625" bestFit="1" customWidth="1"/>
    <col min="3" max="3" width="25.7109375" customWidth="1"/>
    <col min="4" max="4" width="16.42578125" customWidth="1"/>
    <col min="5" max="5" width="18.28515625" customWidth="1"/>
    <col min="6" max="7" width="19" customWidth="1"/>
    <col min="8" max="8" width="18.85546875" customWidth="1"/>
    <col min="9" max="9" width="20.7109375" customWidth="1"/>
    <col min="10" max="11" width="21.28515625" customWidth="1"/>
    <col min="12" max="12" width="21.85546875" customWidth="1"/>
    <col min="13" max="13" width="17.85546875" customWidth="1"/>
    <col min="14" max="14" width="18.42578125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spans="1:14" x14ac:dyDescent="0.25">
      <c r="A2" s="3" t="str">
        <f>HYPERLINK("http://www.ncbi.nlm.nih.gov/gene/2","2")</f>
        <v>2</v>
      </c>
      <c r="B2" s="1" t="s">
        <v>14</v>
      </c>
      <c r="C2" t="s">
        <v>15</v>
      </c>
      <c r="D2">
        <v>125.4</v>
      </c>
      <c r="E2">
        <v>128.1</v>
      </c>
      <c r="F2">
        <v>99.9</v>
      </c>
      <c r="G2">
        <v>99.6</v>
      </c>
      <c r="H2">
        <v>142.80000000000001</v>
      </c>
      <c r="I2">
        <v>146.80000000000001</v>
      </c>
      <c r="J2">
        <v>100</v>
      </c>
      <c r="K2">
        <v>100</v>
      </c>
      <c r="L2" s="1" t="s">
        <v>14</v>
      </c>
      <c r="M2" t="s">
        <v>16</v>
      </c>
      <c r="N2">
        <v>2</v>
      </c>
    </row>
    <row r="3" spans="1:14" x14ac:dyDescent="0.25">
      <c r="A3" s="3" t="str">
        <f>HYPERLINK("http://www.ncbi.nlm.nih.gov/gene/144568","144568")</f>
        <v>144568</v>
      </c>
      <c r="B3" s="1" t="s">
        <v>17</v>
      </c>
      <c r="C3" t="s">
        <v>18</v>
      </c>
      <c r="D3">
        <v>118.8</v>
      </c>
      <c r="E3">
        <v>123.4</v>
      </c>
      <c r="F3">
        <v>100</v>
      </c>
      <c r="G3">
        <v>99.6</v>
      </c>
      <c r="H3">
        <v>128.4</v>
      </c>
      <c r="I3">
        <v>132.4</v>
      </c>
      <c r="J3">
        <v>100</v>
      </c>
      <c r="K3">
        <v>100</v>
      </c>
      <c r="L3" s="1" t="s">
        <v>17</v>
      </c>
      <c r="M3" t="s">
        <v>19</v>
      </c>
      <c r="N3">
        <v>2</v>
      </c>
    </row>
    <row r="4" spans="1:14" x14ac:dyDescent="0.25">
      <c r="A4" s="3" t="str">
        <f>HYPERLINK("http://www.ncbi.nlm.nih.gov/gene/53947","53947")</f>
        <v>53947</v>
      </c>
      <c r="B4" s="1" t="s">
        <v>20</v>
      </c>
      <c r="C4" t="s">
        <v>21</v>
      </c>
      <c r="D4">
        <v>188.8</v>
      </c>
      <c r="E4">
        <v>187.1</v>
      </c>
      <c r="F4">
        <v>100</v>
      </c>
      <c r="G4">
        <v>100</v>
      </c>
      <c r="H4">
        <v>135.5</v>
      </c>
      <c r="I4">
        <v>138.1</v>
      </c>
      <c r="J4">
        <v>100</v>
      </c>
      <c r="K4">
        <v>100</v>
      </c>
      <c r="L4" s="1" t="s">
        <v>20</v>
      </c>
      <c r="M4" t="s">
        <v>22</v>
      </c>
      <c r="N4">
        <v>1</v>
      </c>
    </row>
    <row r="5" spans="1:14" x14ac:dyDescent="0.25">
      <c r="A5" s="3" t="str">
        <f>HYPERLINK("http://www.ncbi.nlm.nih.gov/gene/8086","8086")</f>
        <v>8086</v>
      </c>
      <c r="B5" s="1" t="s">
        <v>23</v>
      </c>
      <c r="C5" t="s">
        <v>24</v>
      </c>
      <c r="D5">
        <v>114.8</v>
      </c>
      <c r="E5">
        <v>117.1</v>
      </c>
      <c r="F5">
        <v>100</v>
      </c>
      <c r="G5">
        <v>99.9</v>
      </c>
      <c r="H5">
        <v>120.5</v>
      </c>
      <c r="I5">
        <v>122.8</v>
      </c>
      <c r="J5">
        <v>100</v>
      </c>
      <c r="K5">
        <v>100</v>
      </c>
      <c r="L5" s="1" t="s">
        <v>23</v>
      </c>
      <c r="M5" t="s">
        <v>25</v>
      </c>
      <c r="N5">
        <v>6</v>
      </c>
    </row>
    <row r="6" spans="1:14" x14ac:dyDescent="0.25">
      <c r="A6" s="3" t="str">
        <f>HYPERLINK("http://www.ncbi.nlm.nih.gov/gene/79719","79719")</f>
        <v>79719</v>
      </c>
      <c r="B6" s="1" t="s">
        <v>27</v>
      </c>
      <c r="C6" t="s">
        <v>28</v>
      </c>
      <c r="D6">
        <v>148.80000000000001</v>
      </c>
      <c r="E6">
        <v>152.4</v>
      </c>
      <c r="F6">
        <v>100</v>
      </c>
      <c r="G6">
        <v>99.2</v>
      </c>
      <c r="H6">
        <v>129.5</v>
      </c>
      <c r="I6">
        <v>132.30000000000001</v>
      </c>
      <c r="J6">
        <v>100</v>
      </c>
      <c r="K6">
        <v>100</v>
      </c>
      <c r="L6" s="1" t="s">
        <v>27</v>
      </c>
      <c r="M6" t="s">
        <v>29</v>
      </c>
      <c r="N6">
        <v>2</v>
      </c>
    </row>
    <row r="7" spans="1:14" x14ac:dyDescent="0.25">
      <c r="A7" s="3" t="str">
        <f>HYPERLINK("http://www.ncbi.nlm.nih.gov/gene/16","16")</f>
        <v>16</v>
      </c>
      <c r="B7" s="1" t="s">
        <v>30</v>
      </c>
      <c r="C7" t="s">
        <v>31</v>
      </c>
      <c r="D7">
        <v>119.8</v>
      </c>
      <c r="E7">
        <v>124.9</v>
      </c>
      <c r="F7">
        <v>100</v>
      </c>
      <c r="G7">
        <v>99.9</v>
      </c>
      <c r="H7">
        <v>135.80000000000001</v>
      </c>
      <c r="I7">
        <v>140.1</v>
      </c>
      <c r="J7">
        <v>100</v>
      </c>
      <c r="K7">
        <v>100</v>
      </c>
      <c r="L7" s="1" t="s">
        <v>30</v>
      </c>
      <c r="M7" t="s">
        <v>32</v>
      </c>
      <c r="N7">
        <v>5</v>
      </c>
    </row>
    <row r="8" spans="1:14" x14ac:dyDescent="0.25">
      <c r="A8" s="3" t="str">
        <f>HYPERLINK("http://www.ncbi.nlm.nih.gov/gene/57505","57505")</f>
        <v>57505</v>
      </c>
      <c r="B8" s="1" t="s">
        <v>33</v>
      </c>
      <c r="C8" t="s">
        <v>34</v>
      </c>
      <c r="D8">
        <v>129</v>
      </c>
      <c r="E8">
        <v>131.5</v>
      </c>
      <c r="F8">
        <v>100</v>
      </c>
      <c r="G8">
        <v>99.4</v>
      </c>
      <c r="H8">
        <v>144.69999999999999</v>
      </c>
      <c r="I8">
        <v>148.5</v>
      </c>
      <c r="J8">
        <v>100</v>
      </c>
      <c r="K8">
        <v>100</v>
      </c>
      <c r="L8" s="1" t="s">
        <v>33</v>
      </c>
      <c r="M8" t="s">
        <v>35</v>
      </c>
      <c r="N8">
        <v>6</v>
      </c>
    </row>
    <row r="9" spans="1:14" x14ac:dyDescent="0.25">
      <c r="A9" s="3" t="str">
        <f>HYPERLINK("http://www.ncbi.nlm.nih.gov/gene/10157","10157")</f>
        <v>10157</v>
      </c>
      <c r="B9" s="1" t="s">
        <v>36</v>
      </c>
      <c r="C9" t="s">
        <v>37</v>
      </c>
      <c r="D9">
        <v>161.69999999999999</v>
      </c>
      <c r="E9">
        <v>168</v>
      </c>
      <c r="F9">
        <v>100</v>
      </c>
      <c r="G9">
        <v>99.7</v>
      </c>
      <c r="H9">
        <v>138.5</v>
      </c>
      <c r="I9">
        <v>142.5</v>
      </c>
      <c r="J9">
        <v>100</v>
      </c>
      <c r="K9">
        <v>100</v>
      </c>
      <c r="L9" s="1" t="s">
        <v>36</v>
      </c>
      <c r="M9" t="s">
        <v>38</v>
      </c>
      <c r="N9">
        <v>4</v>
      </c>
    </row>
    <row r="10" spans="1:14" x14ac:dyDescent="0.25">
      <c r="A10" s="3" t="str">
        <f>HYPERLINK("http://www.ncbi.nlm.nih.gov/gene/18","18")</f>
        <v>18</v>
      </c>
      <c r="B10" s="1" t="s">
        <v>39</v>
      </c>
      <c r="C10" t="s">
        <v>40</v>
      </c>
      <c r="D10">
        <v>102.4</v>
      </c>
      <c r="E10">
        <v>105.5</v>
      </c>
      <c r="F10">
        <v>100</v>
      </c>
      <c r="G10">
        <v>99.4</v>
      </c>
      <c r="H10">
        <v>132.19999999999999</v>
      </c>
      <c r="I10">
        <v>135.1</v>
      </c>
      <c r="J10">
        <v>100</v>
      </c>
      <c r="K10">
        <v>100</v>
      </c>
      <c r="L10" s="1" t="s">
        <v>39</v>
      </c>
      <c r="M10" t="s">
        <v>41</v>
      </c>
      <c r="N10">
        <v>6</v>
      </c>
    </row>
    <row r="11" spans="1:14" x14ac:dyDescent="0.25">
      <c r="A11" s="3" t="str">
        <f>HYPERLINK("http://www.ncbi.nlm.nih.gov/gene/19","19")</f>
        <v>19</v>
      </c>
      <c r="B11" s="1" t="s">
        <v>42</v>
      </c>
      <c r="C11" t="s">
        <v>43</v>
      </c>
      <c r="D11">
        <v>111.1</v>
      </c>
      <c r="E11">
        <v>115.8</v>
      </c>
      <c r="F11">
        <v>99.9</v>
      </c>
      <c r="G11">
        <v>99.1</v>
      </c>
      <c r="H11">
        <v>144.9</v>
      </c>
      <c r="I11">
        <v>148.6</v>
      </c>
      <c r="J11">
        <v>100</v>
      </c>
      <c r="K11">
        <v>100</v>
      </c>
      <c r="L11" s="1" t="s">
        <v>42</v>
      </c>
      <c r="M11" t="s">
        <v>44</v>
      </c>
      <c r="N11">
        <v>3</v>
      </c>
    </row>
    <row r="12" spans="1:14" x14ac:dyDescent="0.25">
      <c r="A12" s="3" t="str">
        <f>HYPERLINK("http://www.ncbi.nlm.nih.gov/gene/26154","26154")</f>
        <v>26154</v>
      </c>
      <c r="B12" s="1" t="s">
        <v>45</v>
      </c>
      <c r="C12" t="s">
        <v>46</v>
      </c>
      <c r="D12">
        <v>157.5</v>
      </c>
      <c r="E12">
        <v>163.9</v>
      </c>
      <c r="F12">
        <v>99.5</v>
      </c>
      <c r="G12">
        <v>98.7</v>
      </c>
      <c r="H12">
        <v>133.19999999999999</v>
      </c>
      <c r="I12">
        <v>137.5</v>
      </c>
      <c r="J12">
        <v>100</v>
      </c>
      <c r="K12">
        <v>100</v>
      </c>
      <c r="L12" s="1" t="s">
        <v>45</v>
      </c>
      <c r="M12" t="s">
        <v>47</v>
      </c>
      <c r="N12">
        <v>2</v>
      </c>
    </row>
    <row r="13" spans="1:14" x14ac:dyDescent="0.25">
      <c r="A13" s="3" t="str">
        <f>HYPERLINK("http://www.ncbi.nlm.nih.gov/gene/20","20")</f>
        <v>20</v>
      </c>
      <c r="B13" s="1" t="s">
        <v>48</v>
      </c>
      <c r="C13" t="s">
        <v>49</v>
      </c>
      <c r="D13">
        <v>128.30000000000001</v>
      </c>
      <c r="E13">
        <v>130.19999999999999</v>
      </c>
      <c r="F13">
        <v>99.7</v>
      </c>
      <c r="G13">
        <v>98.9</v>
      </c>
      <c r="H13">
        <v>138.6</v>
      </c>
      <c r="I13">
        <v>142.19999999999999</v>
      </c>
      <c r="J13">
        <v>100</v>
      </c>
      <c r="K13">
        <v>100</v>
      </c>
      <c r="L13" s="1" t="s">
        <v>48</v>
      </c>
      <c r="M13" t="s">
        <v>50</v>
      </c>
      <c r="N13">
        <v>2</v>
      </c>
    </row>
    <row r="14" spans="1:14" x14ac:dyDescent="0.25">
      <c r="A14" s="3" t="str">
        <f>HYPERLINK("http://www.ncbi.nlm.nih.gov/gene/21","21")</f>
        <v>21</v>
      </c>
      <c r="B14" s="1" t="s">
        <v>51</v>
      </c>
      <c r="C14" t="s">
        <v>52</v>
      </c>
      <c r="D14">
        <v>118.1</v>
      </c>
      <c r="E14">
        <v>123.4</v>
      </c>
      <c r="F14">
        <v>99.9</v>
      </c>
      <c r="G14">
        <v>99.3</v>
      </c>
      <c r="H14">
        <v>138.80000000000001</v>
      </c>
      <c r="I14">
        <v>143.80000000000001</v>
      </c>
      <c r="J14">
        <v>100</v>
      </c>
      <c r="K14">
        <v>100</v>
      </c>
      <c r="L14" s="1" t="s">
        <v>51</v>
      </c>
      <c r="M14" t="s">
        <v>53</v>
      </c>
      <c r="N14">
        <v>2</v>
      </c>
    </row>
    <row r="15" spans="1:14" x14ac:dyDescent="0.25">
      <c r="A15" s="3" t="str">
        <f>HYPERLINK("http://www.ncbi.nlm.nih.gov/gene/24","24")</f>
        <v>24</v>
      </c>
      <c r="B15" s="1" t="s">
        <v>54</v>
      </c>
      <c r="C15" t="s">
        <v>55</v>
      </c>
      <c r="D15">
        <v>120.5</v>
      </c>
      <c r="E15">
        <v>125.3</v>
      </c>
      <c r="F15">
        <v>99.9</v>
      </c>
      <c r="G15">
        <v>99.3</v>
      </c>
      <c r="H15">
        <v>137.9</v>
      </c>
      <c r="I15">
        <v>142.30000000000001</v>
      </c>
      <c r="J15">
        <v>96.5</v>
      </c>
      <c r="K15">
        <v>96.5</v>
      </c>
      <c r="L15" s="1" t="s">
        <v>54</v>
      </c>
      <c r="M15" t="s">
        <v>56</v>
      </c>
      <c r="N15">
        <v>3</v>
      </c>
    </row>
    <row r="16" spans="1:14" x14ac:dyDescent="0.25">
      <c r="A16" s="3" t="str">
        <f>HYPERLINK("http://www.ncbi.nlm.nih.gov/gene/23461","23461")</f>
        <v>23461</v>
      </c>
      <c r="B16" s="1" t="s">
        <v>57</v>
      </c>
      <c r="C16" t="s">
        <v>58</v>
      </c>
      <c r="D16">
        <v>85.5</v>
      </c>
      <c r="E16">
        <v>88.8</v>
      </c>
      <c r="F16">
        <v>98.4</v>
      </c>
      <c r="G16">
        <v>92.3</v>
      </c>
      <c r="H16">
        <v>115.1</v>
      </c>
      <c r="I16">
        <v>118.8</v>
      </c>
      <c r="J16">
        <v>100</v>
      </c>
      <c r="K16">
        <v>100</v>
      </c>
      <c r="L16" s="1" t="s">
        <v>57</v>
      </c>
      <c r="M16" t="s">
        <v>59</v>
      </c>
      <c r="N16">
        <v>1</v>
      </c>
    </row>
    <row r="17" spans="1:14" x14ac:dyDescent="0.25">
      <c r="A17" s="3" t="str">
        <f>HYPERLINK("http://www.ncbi.nlm.nih.gov/gene/23456","23456")</f>
        <v>23456</v>
      </c>
      <c r="B17" s="1" t="s">
        <v>60</v>
      </c>
      <c r="C17" t="s">
        <v>61</v>
      </c>
      <c r="D17">
        <v>70.900000000000006</v>
      </c>
      <c r="E17">
        <v>68.900000000000006</v>
      </c>
      <c r="F17">
        <v>77.400000000000006</v>
      </c>
      <c r="G17">
        <v>71.2</v>
      </c>
      <c r="H17">
        <v>117.9</v>
      </c>
      <c r="I17">
        <v>120.7</v>
      </c>
      <c r="J17">
        <v>99.4</v>
      </c>
      <c r="K17">
        <v>96.8</v>
      </c>
      <c r="L17" s="1" t="s">
        <v>60</v>
      </c>
      <c r="M17" t="s">
        <v>62</v>
      </c>
      <c r="N17">
        <v>2</v>
      </c>
    </row>
    <row r="18" spans="1:14" x14ac:dyDescent="0.25">
      <c r="A18" s="3" t="str">
        <f>HYPERLINK("http://www.ncbi.nlm.nih.gov/gene/8647","8647")</f>
        <v>8647</v>
      </c>
      <c r="B18" s="1" t="s">
        <v>63</v>
      </c>
      <c r="C18" t="s">
        <v>64</v>
      </c>
      <c r="D18">
        <v>163.80000000000001</v>
      </c>
      <c r="E18">
        <v>170.4</v>
      </c>
      <c r="F18">
        <v>100</v>
      </c>
      <c r="G18">
        <v>99.7</v>
      </c>
      <c r="H18">
        <v>156.69999999999999</v>
      </c>
      <c r="I18">
        <v>161.4</v>
      </c>
      <c r="J18">
        <v>100</v>
      </c>
      <c r="K18">
        <v>100</v>
      </c>
      <c r="L18" s="1" t="s">
        <v>63</v>
      </c>
      <c r="M18" t="s">
        <v>65</v>
      </c>
      <c r="N18">
        <v>3</v>
      </c>
    </row>
    <row r="19" spans="1:14" x14ac:dyDescent="0.25">
      <c r="A19" s="3" t="str">
        <f>HYPERLINK("http://www.ncbi.nlm.nih.gov/gene/5244","5244")</f>
        <v>5244</v>
      </c>
      <c r="B19" s="1" t="s">
        <v>66</v>
      </c>
      <c r="C19" t="s">
        <v>67</v>
      </c>
      <c r="D19">
        <v>145.6</v>
      </c>
      <c r="E19">
        <v>151.80000000000001</v>
      </c>
      <c r="F19">
        <v>99.9</v>
      </c>
      <c r="G19">
        <v>99.6</v>
      </c>
      <c r="H19">
        <v>149.80000000000001</v>
      </c>
      <c r="I19">
        <v>155</v>
      </c>
      <c r="J19">
        <v>100</v>
      </c>
      <c r="K19">
        <v>100</v>
      </c>
      <c r="L19" s="1" t="s">
        <v>66</v>
      </c>
      <c r="M19" t="s">
        <v>68</v>
      </c>
      <c r="N19">
        <v>3</v>
      </c>
    </row>
    <row r="20" spans="1:14" x14ac:dyDescent="0.25">
      <c r="A20" s="3" t="str">
        <f>HYPERLINK("http://www.ncbi.nlm.nih.gov/gene/10058","10058")</f>
        <v>10058</v>
      </c>
      <c r="B20" s="1" t="s">
        <v>69</v>
      </c>
      <c r="C20" t="s">
        <v>70</v>
      </c>
      <c r="D20">
        <v>137.5</v>
      </c>
      <c r="E20">
        <v>140.5</v>
      </c>
      <c r="F20">
        <v>100</v>
      </c>
      <c r="G20">
        <v>99.8</v>
      </c>
      <c r="H20">
        <v>133.9</v>
      </c>
      <c r="I20">
        <v>136.9</v>
      </c>
      <c r="J20">
        <v>100</v>
      </c>
      <c r="K20">
        <v>100</v>
      </c>
      <c r="L20" s="1" t="s">
        <v>69</v>
      </c>
      <c r="M20" t="s">
        <v>29</v>
      </c>
      <c r="N20">
        <v>2</v>
      </c>
    </row>
    <row r="21" spans="1:14" x14ac:dyDescent="0.25">
      <c r="A21" s="3" t="str">
        <f>HYPERLINK("http://www.ncbi.nlm.nih.gov/gene/22","22")</f>
        <v>22</v>
      </c>
      <c r="B21" s="1" t="s">
        <v>71</v>
      </c>
      <c r="C21" t="s">
        <v>72</v>
      </c>
      <c r="D21">
        <v>141.30000000000001</v>
      </c>
      <c r="E21">
        <v>148.30000000000001</v>
      </c>
      <c r="F21">
        <v>99.5</v>
      </c>
      <c r="G21">
        <v>98.2</v>
      </c>
      <c r="H21">
        <v>127.1</v>
      </c>
      <c r="I21">
        <v>130.69999999999999</v>
      </c>
      <c r="J21">
        <v>99.3</v>
      </c>
      <c r="K21">
        <v>98.8</v>
      </c>
      <c r="L21" s="1" t="s">
        <v>71</v>
      </c>
      <c r="M21" t="s">
        <v>73</v>
      </c>
      <c r="N21">
        <v>4</v>
      </c>
    </row>
    <row r="22" spans="1:14" x14ac:dyDescent="0.25">
      <c r="A22" s="3" t="str">
        <f>HYPERLINK("http://www.ncbi.nlm.nih.gov/gene/4363","4363")</f>
        <v>4363</v>
      </c>
      <c r="B22" s="1" t="s">
        <v>74</v>
      </c>
      <c r="C22" t="s">
        <v>75</v>
      </c>
      <c r="D22">
        <v>122.1</v>
      </c>
      <c r="E22">
        <v>127.4</v>
      </c>
      <c r="F22">
        <v>98.9</v>
      </c>
      <c r="G22">
        <v>97.9</v>
      </c>
      <c r="H22">
        <v>193.4</v>
      </c>
      <c r="I22">
        <v>199.4</v>
      </c>
      <c r="J22">
        <v>100</v>
      </c>
      <c r="K22">
        <v>100</v>
      </c>
      <c r="L22" s="1" t="s">
        <v>74</v>
      </c>
      <c r="M22" t="s">
        <v>76</v>
      </c>
      <c r="N22">
        <v>2</v>
      </c>
    </row>
    <row r="23" spans="1:14" x14ac:dyDescent="0.25">
      <c r="A23" s="3" t="str">
        <f>HYPERLINK("http://www.ncbi.nlm.nih.gov/gene/1244","1244")</f>
        <v>1244</v>
      </c>
      <c r="B23" s="1" t="s">
        <v>77</v>
      </c>
      <c r="C23" t="s">
        <v>78</v>
      </c>
      <c r="D23">
        <v>128.6</v>
      </c>
      <c r="E23">
        <v>134.69999999999999</v>
      </c>
      <c r="F23">
        <v>100</v>
      </c>
      <c r="G23">
        <v>99.9</v>
      </c>
      <c r="H23">
        <v>138.80000000000001</v>
      </c>
      <c r="I23">
        <v>143.4</v>
      </c>
      <c r="J23">
        <v>100</v>
      </c>
      <c r="K23">
        <v>100</v>
      </c>
      <c r="L23" s="1" t="s">
        <v>77</v>
      </c>
      <c r="M23" t="s">
        <v>65</v>
      </c>
      <c r="N23">
        <v>3</v>
      </c>
    </row>
    <row r="24" spans="1:14" x14ac:dyDescent="0.25">
      <c r="A24" s="3" t="str">
        <f>HYPERLINK("http://www.ncbi.nlm.nih.gov/gene/368","368")</f>
        <v>368</v>
      </c>
      <c r="B24" s="1" t="s">
        <v>79</v>
      </c>
      <c r="C24" t="s">
        <v>80</v>
      </c>
      <c r="D24">
        <v>113.5</v>
      </c>
      <c r="E24">
        <v>117.1</v>
      </c>
      <c r="F24">
        <v>93.6</v>
      </c>
      <c r="G24">
        <v>92.4</v>
      </c>
      <c r="H24">
        <v>201.4</v>
      </c>
      <c r="I24">
        <v>207.1</v>
      </c>
      <c r="J24">
        <v>100</v>
      </c>
      <c r="K24">
        <v>100</v>
      </c>
      <c r="L24" s="1" t="s">
        <v>79</v>
      </c>
      <c r="M24" t="s">
        <v>81</v>
      </c>
      <c r="N24">
        <v>6</v>
      </c>
    </row>
    <row r="25" spans="1:14" x14ac:dyDescent="0.25">
      <c r="A25" s="3" t="str">
        <f>HYPERLINK("http://www.ncbi.nlm.nih.gov/gene/6833","6833")</f>
        <v>6833</v>
      </c>
      <c r="B25" s="1" t="s">
        <v>82</v>
      </c>
      <c r="C25" t="s">
        <v>83</v>
      </c>
      <c r="D25">
        <v>126.5</v>
      </c>
      <c r="E25">
        <v>131.9</v>
      </c>
      <c r="F25">
        <v>100</v>
      </c>
      <c r="G25">
        <v>99.8</v>
      </c>
      <c r="H25">
        <v>142.6</v>
      </c>
      <c r="I25">
        <v>145.80000000000001</v>
      </c>
      <c r="J25">
        <v>100</v>
      </c>
      <c r="K25">
        <v>100</v>
      </c>
      <c r="L25" s="1" t="s">
        <v>82</v>
      </c>
      <c r="M25" t="s">
        <v>84</v>
      </c>
      <c r="N25">
        <v>5</v>
      </c>
    </row>
    <row r="26" spans="1:14" x14ac:dyDescent="0.25">
      <c r="A26" s="3" t="str">
        <f>HYPERLINK("http://www.ncbi.nlm.nih.gov/gene/10060","10060")</f>
        <v>10060</v>
      </c>
      <c r="B26" s="1" t="s">
        <v>85</v>
      </c>
      <c r="C26" t="s">
        <v>86</v>
      </c>
      <c r="D26">
        <v>167.2</v>
      </c>
      <c r="E26">
        <v>172.8</v>
      </c>
      <c r="F26">
        <v>100</v>
      </c>
      <c r="G26">
        <v>99.9</v>
      </c>
      <c r="H26">
        <v>134.19999999999999</v>
      </c>
      <c r="I26">
        <v>137.69999999999999</v>
      </c>
      <c r="J26">
        <v>100</v>
      </c>
      <c r="K26">
        <v>100</v>
      </c>
      <c r="L26" s="1" t="s">
        <v>85</v>
      </c>
      <c r="M26" t="s">
        <v>87</v>
      </c>
      <c r="N26">
        <v>5</v>
      </c>
    </row>
    <row r="27" spans="1:14" x14ac:dyDescent="0.25">
      <c r="A27" s="3" t="str">
        <f>HYPERLINK("http://www.ncbi.nlm.nih.gov/gene/215","215")</f>
        <v>215</v>
      </c>
      <c r="B27" s="1" t="s">
        <v>88</v>
      </c>
      <c r="C27" t="s">
        <v>89</v>
      </c>
      <c r="D27">
        <v>87.2</v>
      </c>
      <c r="E27">
        <v>78.099999999999994</v>
      </c>
      <c r="F27">
        <v>75.8</v>
      </c>
      <c r="G27">
        <v>71.599999999999994</v>
      </c>
      <c r="H27">
        <v>139.80000000000001</v>
      </c>
      <c r="I27">
        <v>143</v>
      </c>
      <c r="J27">
        <v>100</v>
      </c>
      <c r="K27">
        <v>100</v>
      </c>
      <c r="L27" s="1" t="s">
        <v>88</v>
      </c>
      <c r="M27" t="s">
        <v>90</v>
      </c>
      <c r="N27">
        <v>6</v>
      </c>
    </row>
    <row r="28" spans="1:14" x14ac:dyDescent="0.25">
      <c r="A28" s="3" t="str">
        <f>HYPERLINK("http://www.ncbi.nlm.nih.gov/gene/225","225")</f>
        <v>225</v>
      </c>
      <c r="B28" s="1" t="s">
        <v>91</v>
      </c>
      <c r="C28" t="s">
        <v>92</v>
      </c>
      <c r="D28">
        <v>195</v>
      </c>
      <c r="E28">
        <v>207.3</v>
      </c>
      <c r="F28">
        <v>100</v>
      </c>
      <c r="G28">
        <v>99.8</v>
      </c>
      <c r="H28">
        <v>163.5</v>
      </c>
      <c r="I28">
        <v>165.9</v>
      </c>
      <c r="J28">
        <v>100</v>
      </c>
      <c r="K28">
        <v>100</v>
      </c>
      <c r="L28" s="1" t="s">
        <v>91</v>
      </c>
      <c r="M28" t="s">
        <v>93</v>
      </c>
      <c r="N28">
        <v>2</v>
      </c>
    </row>
    <row r="29" spans="1:14" x14ac:dyDescent="0.25">
      <c r="A29" s="3" t="str">
        <f>HYPERLINK("http://www.ncbi.nlm.nih.gov/gene/5825","5825")</f>
        <v>5825</v>
      </c>
      <c r="B29" s="1" t="s">
        <v>94</v>
      </c>
      <c r="C29" t="s">
        <v>95</v>
      </c>
      <c r="D29">
        <v>123.2</v>
      </c>
      <c r="E29">
        <v>125.8</v>
      </c>
      <c r="F29">
        <v>99.8</v>
      </c>
      <c r="G29">
        <v>97.7</v>
      </c>
      <c r="H29">
        <v>118.4</v>
      </c>
      <c r="I29">
        <v>120.9</v>
      </c>
      <c r="J29">
        <v>100</v>
      </c>
      <c r="K29">
        <v>100</v>
      </c>
      <c r="L29" s="1" t="s">
        <v>94</v>
      </c>
      <c r="M29" t="s">
        <v>96</v>
      </c>
      <c r="N29">
        <v>4</v>
      </c>
    </row>
    <row r="30" spans="1:14" x14ac:dyDescent="0.25">
      <c r="A30" s="3" t="str">
        <f>HYPERLINK("http://www.ncbi.nlm.nih.gov/gene/5826","5826")</f>
        <v>5826</v>
      </c>
      <c r="B30" s="1" t="s">
        <v>97</v>
      </c>
      <c r="C30" t="s">
        <v>98</v>
      </c>
      <c r="D30">
        <v>138.9</v>
      </c>
      <c r="E30">
        <v>141.4</v>
      </c>
      <c r="F30">
        <v>99.9</v>
      </c>
      <c r="G30">
        <v>98.6</v>
      </c>
      <c r="H30">
        <v>127.8</v>
      </c>
      <c r="I30">
        <v>130.80000000000001</v>
      </c>
      <c r="J30">
        <v>100</v>
      </c>
      <c r="K30">
        <v>100</v>
      </c>
      <c r="L30" s="1" t="s">
        <v>97</v>
      </c>
      <c r="M30" t="s">
        <v>99</v>
      </c>
      <c r="N30">
        <v>5</v>
      </c>
    </row>
    <row r="31" spans="1:14" x14ac:dyDescent="0.25">
      <c r="A31" s="3" t="str">
        <f>HYPERLINK("http://www.ncbi.nlm.nih.gov/gene/64240","64240")</f>
        <v>64240</v>
      </c>
      <c r="B31" s="1" t="s">
        <v>100</v>
      </c>
      <c r="C31" t="s">
        <v>101</v>
      </c>
      <c r="D31">
        <v>169.4</v>
      </c>
      <c r="E31">
        <v>173.9</v>
      </c>
      <c r="F31">
        <v>100</v>
      </c>
      <c r="G31">
        <v>100</v>
      </c>
      <c r="H31">
        <v>137.69999999999999</v>
      </c>
      <c r="I31">
        <v>141.4</v>
      </c>
      <c r="J31">
        <v>100</v>
      </c>
      <c r="K31">
        <v>100</v>
      </c>
      <c r="L31" s="1" t="s">
        <v>100</v>
      </c>
      <c r="M31" t="s">
        <v>102</v>
      </c>
      <c r="N31">
        <v>4</v>
      </c>
    </row>
    <row r="32" spans="1:14" x14ac:dyDescent="0.25">
      <c r="A32" s="3" t="str">
        <f>HYPERLINK("http://www.ncbi.nlm.nih.gov/gene/64241","64241")</f>
        <v>64241</v>
      </c>
      <c r="B32" s="1" t="s">
        <v>103</v>
      </c>
      <c r="C32" t="s">
        <v>104</v>
      </c>
      <c r="D32">
        <v>146.5</v>
      </c>
      <c r="E32">
        <v>150.19999999999999</v>
      </c>
      <c r="F32">
        <v>99.1</v>
      </c>
      <c r="G32">
        <v>97.3</v>
      </c>
      <c r="H32">
        <v>138.1</v>
      </c>
      <c r="I32">
        <v>142.4</v>
      </c>
      <c r="J32">
        <v>100</v>
      </c>
      <c r="K32">
        <v>100</v>
      </c>
      <c r="L32" s="1" t="s">
        <v>103</v>
      </c>
      <c r="M32" t="s">
        <v>102</v>
      </c>
      <c r="N32">
        <v>4</v>
      </c>
    </row>
    <row r="33" spans="1:14" x14ac:dyDescent="0.25">
      <c r="A33" s="3" t="str">
        <f>HYPERLINK("http://www.ncbi.nlm.nih.gov/gene/26090","26090")</f>
        <v>26090</v>
      </c>
      <c r="B33" s="1" t="s">
        <v>105</v>
      </c>
      <c r="C33" t="s">
        <v>106</v>
      </c>
      <c r="D33">
        <v>93</v>
      </c>
      <c r="E33">
        <v>94.6</v>
      </c>
      <c r="F33">
        <v>91.2</v>
      </c>
      <c r="G33">
        <v>85.2</v>
      </c>
      <c r="H33">
        <v>108.4</v>
      </c>
      <c r="I33">
        <v>110.7</v>
      </c>
      <c r="J33">
        <v>100</v>
      </c>
      <c r="K33">
        <v>99.4</v>
      </c>
      <c r="L33" s="1" t="s">
        <v>105</v>
      </c>
      <c r="M33" t="s">
        <v>107</v>
      </c>
      <c r="N33">
        <v>7</v>
      </c>
    </row>
    <row r="34" spans="1:14" x14ac:dyDescent="0.25">
      <c r="A34" s="3" t="str">
        <f>HYPERLINK("http://www.ncbi.nlm.nih.gov/gene/51099","51099")</f>
        <v>51099</v>
      </c>
      <c r="B34" s="1" t="s">
        <v>108</v>
      </c>
      <c r="C34" t="s">
        <v>109</v>
      </c>
      <c r="D34">
        <v>217.4</v>
      </c>
      <c r="E34">
        <v>224.8</v>
      </c>
      <c r="F34">
        <v>100</v>
      </c>
      <c r="G34">
        <v>100</v>
      </c>
      <c r="H34">
        <v>140.30000000000001</v>
      </c>
      <c r="I34">
        <v>143.1</v>
      </c>
      <c r="J34">
        <v>100</v>
      </c>
      <c r="K34">
        <v>100</v>
      </c>
      <c r="L34" s="1" t="s">
        <v>108</v>
      </c>
      <c r="M34" t="s">
        <v>110</v>
      </c>
      <c r="N34">
        <v>5</v>
      </c>
    </row>
    <row r="35" spans="1:14" x14ac:dyDescent="0.25">
      <c r="A35" s="3" t="str">
        <f>HYPERLINK("http://www.ncbi.nlm.nih.gov/gene/25","25")</f>
        <v>25</v>
      </c>
      <c r="B35" s="1" t="s">
        <v>111</v>
      </c>
      <c r="C35" t="s">
        <v>112</v>
      </c>
      <c r="D35">
        <v>170.7</v>
      </c>
      <c r="E35">
        <v>166.9</v>
      </c>
      <c r="F35">
        <v>100</v>
      </c>
      <c r="G35">
        <v>100</v>
      </c>
      <c r="H35">
        <v>149.30000000000001</v>
      </c>
      <c r="I35">
        <v>151.1</v>
      </c>
      <c r="J35">
        <v>100</v>
      </c>
      <c r="K35">
        <v>100</v>
      </c>
      <c r="L35" s="1" t="s">
        <v>111</v>
      </c>
      <c r="M35" t="s">
        <v>113</v>
      </c>
      <c r="N35">
        <v>3</v>
      </c>
    </row>
    <row r="36" spans="1:14" x14ac:dyDescent="0.25">
      <c r="A36" s="3" t="str">
        <f>HYPERLINK("http://www.ncbi.nlm.nih.gov/gene/31","31")</f>
        <v>31</v>
      </c>
      <c r="B36" s="1" t="s">
        <v>114</v>
      </c>
      <c r="C36" t="s">
        <v>115</v>
      </c>
      <c r="D36">
        <v>128.4</v>
      </c>
      <c r="E36">
        <v>133.5</v>
      </c>
      <c r="F36">
        <v>98.4</v>
      </c>
      <c r="G36">
        <v>98.1</v>
      </c>
      <c r="H36">
        <v>182.2</v>
      </c>
      <c r="I36">
        <v>187.5</v>
      </c>
      <c r="J36">
        <v>100</v>
      </c>
      <c r="K36">
        <v>100</v>
      </c>
      <c r="L36" s="1" t="s">
        <v>114</v>
      </c>
      <c r="M36" t="s">
        <v>116</v>
      </c>
      <c r="N36">
        <v>3</v>
      </c>
    </row>
    <row r="37" spans="1:14" x14ac:dyDescent="0.25">
      <c r="A37" s="3" t="str">
        <f>HYPERLINK("http://www.ncbi.nlm.nih.gov/gene/27034","27034")</f>
        <v>27034</v>
      </c>
      <c r="B37" s="1" t="s">
        <v>117</v>
      </c>
      <c r="C37" t="s">
        <v>118</v>
      </c>
      <c r="D37">
        <v>142.4</v>
      </c>
      <c r="E37">
        <v>145.4</v>
      </c>
      <c r="F37">
        <v>100</v>
      </c>
      <c r="G37">
        <v>100</v>
      </c>
      <c r="H37">
        <v>144.6</v>
      </c>
      <c r="I37">
        <v>148.1</v>
      </c>
      <c r="J37">
        <v>100</v>
      </c>
      <c r="K37">
        <v>100</v>
      </c>
      <c r="L37" s="1" t="s">
        <v>117</v>
      </c>
      <c r="M37" t="s">
        <v>119</v>
      </c>
      <c r="N37">
        <v>4</v>
      </c>
    </row>
    <row r="38" spans="1:14" x14ac:dyDescent="0.25">
      <c r="A38" s="3" t="str">
        <f>HYPERLINK("http://www.ncbi.nlm.nih.gov/gene/28976","28976")</f>
        <v>28976</v>
      </c>
      <c r="B38" s="1" t="s">
        <v>120</v>
      </c>
      <c r="C38" t="s">
        <v>121</v>
      </c>
      <c r="D38">
        <v>138.6</v>
      </c>
      <c r="E38">
        <v>141.69999999999999</v>
      </c>
      <c r="F38">
        <v>100</v>
      </c>
      <c r="G38">
        <v>99.9</v>
      </c>
      <c r="H38">
        <v>138.9</v>
      </c>
      <c r="I38">
        <v>142.4</v>
      </c>
      <c r="J38">
        <v>100</v>
      </c>
      <c r="K38">
        <v>100</v>
      </c>
      <c r="L38" s="1" t="s">
        <v>120</v>
      </c>
      <c r="M38" t="s">
        <v>122</v>
      </c>
      <c r="N38">
        <v>6</v>
      </c>
    </row>
    <row r="39" spans="1:14" x14ac:dyDescent="0.25">
      <c r="A39" s="3" t="str">
        <f>HYPERLINK("http://www.ncbi.nlm.nih.gov/gene/34","34")</f>
        <v>34</v>
      </c>
      <c r="B39" s="1" t="s">
        <v>123</v>
      </c>
      <c r="C39" t="s">
        <v>124</v>
      </c>
      <c r="D39">
        <v>148.1</v>
      </c>
      <c r="E39">
        <v>154.1</v>
      </c>
      <c r="F39">
        <v>99.8</v>
      </c>
      <c r="G39">
        <v>99</v>
      </c>
      <c r="H39">
        <v>125.7</v>
      </c>
      <c r="I39">
        <v>128.69999999999999</v>
      </c>
      <c r="J39">
        <v>100</v>
      </c>
      <c r="K39">
        <v>100</v>
      </c>
      <c r="L39" s="1" t="s">
        <v>123</v>
      </c>
      <c r="M39" t="s">
        <v>116</v>
      </c>
      <c r="N39">
        <v>3</v>
      </c>
    </row>
    <row r="40" spans="1:14" x14ac:dyDescent="0.25">
      <c r="A40" s="3" t="str">
        <f>HYPERLINK("http://www.ncbi.nlm.nih.gov/gene/35","35")</f>
        <v>35</v>
      </c>
      <c r="B40" s="1" t="s">
        <v>125</v>
      </c>
      <c r="C40" t="s">
        <v>126</v>
      </c>
      <c r="D40">
        <v>128.1</v>
      </c>
      <c r="E40">
        <v>129.30000000000001</v>
      </c>
      <c r="F40">
        <v>99.9</v>
      </c>
      <c r="G40">
        <v>98.2</v>
      </c>
      <c r="H40">
        <v>143.4</v>
      </c>
      <c r="I40">
        <v>147.19999999999999</v>
      </c>
      <c r="J40">
        <v>100</v>
      </c>
      <c r="K40">
        <v>100</v>
      </c>
      <c r="L40" s="1" t="s">
        <v>125</v>
      </c>
      <c r="M40" t="s">
        <v>38</v>
      </c>
      <c r="N40">
        <v>4</v>
      </c>
    </row>
    <row r="41" spans="1:14" x14ac:dyDescent="0.25">
      <c r="A41" s="3" t="str">
        <f>HYPERLINK("http://www.ncbi.nlm.nih.gov/gene/36","36")</f>
        <v>36</v>
      </c>
      <c r="B41" s="1" t="s">
        <v>127</v>
      </c>
      <c r="C41" t="s">
        <v>128</v>
      </c>
      <c r="D41">
        <v>129.69999999999999</v>
      </c>
      <c r="E41">
        <v>133.80000000000001</v>
      </c>
      <c r="F41">
        <v>100</v>
      </c>
      <c r="G41">
        <v>99.2</v>
      </c>
      <c r="H41">
        <v>119.2</v>
      </c>
      <c r="I41">
        <v>122.7</v>
      </c>
      <c r="J41">
        <v>100</v>
      </c>
      <c r="K41">
        <v>100</v>
      </c>
      <c r="L41" s="1" t="s">
        <v>127</v>
      </c>
      <c r="M41" t="s">
        <v>116</v>
      </c>
      <c r="N41">
        <v>3</v>
      </c>
    </row>
    <row r="42" spans="1:14" x14ac:dyDescent="0.25">
      <c r="A42" s="3" t="str">
        <f>HYPERLINK("http://www.ncbi.nlm.nih.gov/gene/37","37")</f>
        <v>37</v>
      </c>
      <c r="B42" s="1" t="s">
        <v>129</v>
      </c>
      <c r="C42" t="s">
        <v>130</v>
      </c>
      <c r="D42">
        <v>135.30000000000001</v>
      </c>
      <c r="E42">
        <v>138</v>
      </c>
      <c r="F42">
        <v>99.4</v>
      </c>
      <c r="G42">
        <v>97.3</v>
      </c>
      <c r="H42">
        <v>123.3</v>
      </c>
      <c r="I42">
        <v>125.4</v>
      </c>
      <c r="J42">
        <v>100</v>
      </c>
      <c r="K42">
        <v>100</v>
      </c>
      <c r="L42" s="1" t="s">
        <v>129</v>
      </c>
      <c r="M42" t="s">
        <v>131</v>
      </c>
      <c r="N42">
        <v>5</v>
      </c>
    </row>
    <row r="43" spans="1:14" x14ac:dyDescent="0.25">
      <c r="A43" s="3" t="str">
        <f>HYPERLINK("http://www.ncbi.nlm.nih.gov/gene/176","176")</f>
        <v>176</v>
      </c>
      <c r="B43" s="1" t="s">
        <v>132</v>
      </c>
      <c r="C43" t="s">
        <v>133</v>
      </c>
      <c r="D43">
        <v>131.69999999999999</v>
      </c>
      <c r="E43">
        <v>128.1</v>
      </c>
      <c r="F43">
        <v>96.6</v>
      </c>
      <c r="G43">
        <v>92.9</v>
      </c>
      <c r="H43">
        <v>186.9</v>
      </c>
      <c r="I43">
        <v>159</v>
      </c>
      <c r="J43">
        <v>98.9</v>
      </c>
      <c r="K43">
        <v>98.7</v>
      </c>
      <c r="L43" s="1" t="s">
        <v>132</v>
      </c>
      <c r="M43" t="s">
        <v>134</v>
      </c>
      <c r="N43">
        <v>3</v>
      </c>
    </row>
    <row r="44" spans="1:14" x14ac:dyDescent="0.25">
      <c r="A44" s="3" t="str">
        <f>HYPERLINK("http://www.ncbi.nlm.nih.gov/gene/38","38")</f>
        <v>38</v>
      </c>
      <c r="B44" s="1" t="s">
        <v>135</v>
      </c>
      <c r="C44" t="s">
        <v>136</v>
      </c>
      <c r="D44">
        <v>122.9</v>
      </c>
      <c r="E44">
        <v>126.7</v>
      </c>
      <c r="F44">
        <v>99.9</v>
      </c>
      <c r="G44">
        <v>97.6</v>
      </c>
      <c r="H44">
        <v>107.6</v>
      </c>
      <c r="I44">
        <v>110.5</v>
      </c>
      <c r="J44">
        <v>100</v>
      </c>
      <c r="K44">
        <v>100</v>
      </c>
      <c r="L44" s="1" t="s">
        <v>135</v>
      </c>
      <c r="M44" t="s">
        <v>38</v>
      </c>
      <c r="N44">
        <v>4</v>
      </c>
    </row>
    <row r="45" spans="1:14" x14ac:dyDescent="0.25">
      <c r="A45" s="3" t="str">
        <f>HYPERLINK("http://www.ncbi.nlm.nih.gov/gene/39","39")</f>
        <v>39</v>
      </c>
      <c r="B45" s="1" t="s">
        <v>137</v>
      </c>
      <c r="D45">
        <v>138.69999999999999</v>
      </c>
      <c r="E45">
        <v>142.80000000000001</v>
      </c>
      <c r="F45">
        <v>100</v>
      </c>
      <c r="G45">
        <v>100</v>
      </c>
      <c r="H45">
        <v>133.1</v>
      </c>
      <c r="I45">
        <v>137</v>
      </c>
      <c r="J45">
        <v>100</v>
      </c>
      <c r="K45">
        <v>100</v>
      </c>
      <c r="L45" s="1" t="s">
        <v>137</v>
      </c>
      <c r="M45" t="s">
        <v>93</v>
      </c>
      <c r="N45">
        <v>2</v>
      </c>
    </row>
    <row r="46" spans="1:14" x14ac:dyDescent="0.25">
      <c r="A46" s="3" t="str">
        <f>HYPERLINK("http://www.ncbi.nlm.nih.gov/gene/91452","91452")</f>
        <v>91452</v>
      </c>
      <c r="B46" s="1" t="s">
        <v>138</v>
      </c>
      <c r="C46" t="s">
        <v>139</v>
      </c>
      <c r="D46">
        <v>174.6</v>
      </c>
      <c r="E46">
        <v>181.1</v>
      </c>
      <c r="F46">
        <v>100</v>
      </c>
      <c r="G46">
        <v>99.2</v>
      </c>
      <c r="H46">
        <v>152.9</v>
      </c>
      <c r="I46">
        <v>157.6</v>
      </c>
      <c r="J46">
        <v>100</v>
      </c>
      <c r="K46">
        <v>100</v>
      </c>
      <c r="L46" s="1" t="s">
        <v>138</v>
      </c>
      <c r="M46" t="s">
        <v>140</v>
      </c>
      <c r="N46">
        <v>5</v>
      </c>
    </row>
    <row r="47" spans="1:14" x14ac:dyDescent="0.25">
      <c r="A47" s="3" t="str">
        <f>HYPERLINK("http://www.ncbi.nlm.nih.gov/gene/65057","65057")</f>
        <v>65057</v>
      </c>
      <c r="B47" s="1" t="s">
        <v>141</v>
      </c>
      <c r="C47" t="s">
        <v>142</v>
      </c>
      <c r="D47">
        <v>156</v>
      </c>
      <c r="E47">
        <v>148.6</v>
      </c>
      <c r="F47">
        <v>100</v>
      </c>
      <c r="G47">
        <v>99.9</v>
      </c>
      <c r="H47">
        <v>156.4</v>
      </c>
      <c r="I47">
        <v>158.19999999999999</v>
      </c>
      <c r="J47">
        <v>100</v>
      </c>
      <c r="K47">
        <v>100</v>
      </c>
      <c r="L47" s="1" t="s">
        <v>141</v>
      </c>
      <c r="M47" t="s">
        <v>143</v>
      </c>
      <c r="N47">
        <v>8</v>
      </c>
    </row>
    <row r="48" spans="1:14" x14ac:dyDescent="0.25">
      <c r="A48" s="3" t="str">
        <f>HYPERLINK("http://www.ncbi.nlm.nih.gov/gene/1636","1636")</f>
        <v>1636</v>
      </c>
      <c r="B48" s="1" t="s">
        <v>144</v>
      </c>
      <c r="C48" t="s">
        <v>145</v>
      </c>
      <c r="D48">
        <v>121</v>
      </c>
      <c r="E48">
        <v>126.8</v>
      </c>
      <c r="F48">
        <v>99.9</v>
      </c>
      <c r="G48">
        <v>98.4</v>
      </c>
      <c r="H48">
        <v>137.19999999999999</v>
      </c>
      <c r="I48">
        <v>141.5</v>
      </c>
      <c r="J48">
        <v>100</v>
      </c>
      <c r="K48">
        <v>100</v>
      </c>
      <c r="L48" s="1" t="s">
        <v>144</v>
      </c>
      <c r="M48" t="s">
        <v>146</v>
      </c>
      <c r="N48">
        <v>4</v>
      </c>
    </row>
    <row r="49" spans="1:14" x14ac:dyDescent="0.25">
      <c r="A49" s="3" t="str">
        <f>HYPERLINK("http://www.ncbi.nlm.nih.gov/gene/55331","55331")</f>
        <v>55331</v>
      </c>
      <c r="B49" s="1" t="s">
        <v>147</v>
      </c>
      <c r="C49" t="s">
        <v>148</v>
      </c>
      <c r="D49">
        <v>136.4</v>
      </c>
      <c r="E49">
        <v>138.9</v>
      </c>
      <c r="F49">
        <v>99.8</v>
      </c>
      <c r="G49">
        <v>98.6</v>
      </c>
      <c r="H49">
        <v>119.8</v>
      </c>
      <c r="I49">
        <v>121.7</v>
      </c>
      <c r="J49">
        <v>100</v>
      </c>
      <c r="K49">
        <v>100</v>
      </c>
      <c r="L49" s="1" t="s">
        <v>147</v>
      </c>
      <c r="M49" t="s">
        <v>53</v>
      </c>
      <c r="N49">
        <v>2</v>
      </c>
    </row>
    <row r="50" spans="1:14" x14ac:dyDescent="0.25">
      <c r="A50" s="3" t="str">
        <f>HYPERLINK("http://www.ncbi.nlm.nih.gov/gene/50","50")</f>
        <v>50</v>
      </c>
      <c r="B50" s="1" t="s">
        <v>149</v>
      </c>
      <c r="C50" t="s">
        <v>150</v>
      </c>
      <c r="D50">
        <v>119</v>
      </c>
      <c r="E50">
        <v>122.9</v>
      </c>
      <c r="F50">
        <v>96.3</v>
      </c>
      <c r="G50">
        <v>90.3</v>
      </c>
      <c r="H50">
        <v>134.1</v>
      </c>
      <c r="I50">
        <v>138</v>
      </c>
      <c r="J50">
        <v>100</v>
      </c>
      <c r="K50">
        <v>100</v>
      </c>
      <c r="L50" s="1" t="s">
        <v>149</v>
      </c>
      <c r="M50" t="s">
        <v>151</v>
      </c>
      <c r="N50">
        <v>6</v>
      </c>
    </row>
    <row r="51" spans="1:14" x14ac:dyDescent="0.25">
      <c r="A51" s="3" t="str">
        <f>HYPERLINK("http://www.ncbi.nlm.nih.gov/gene/51","51")</f>
        <v>51</v>
      </c>
      <c r="B51" s="1" t="s">
        <v>152</v>
      </c>
      <c r="C51" t="s">
        <v>153</v>
      </c>
      <c r="D51">
        <v>140.6</v>
      </c>
      <c r="E51">
        <v>143.19999999999999</v>
      </c>
      <c r="F51">
        <v>100</v>
      </c>
      <c r="G51">
        <v>99.9</v>
      </c>
      <c r="H51">
        <v>123</v>
      </c>
      <c r="I51">
        <v>126.7</v>
      </c>
      <c r="J51">
        <v>100</v>
      </c>
      <c r="K51">
        <v>100</v>
      </c>
      <c r="L51" s="1" t="s">
        <v>152</v>
      </c>
      <c r="M51" t="s">
        <v>38</v>
      </c>
      <c r="N51">
        <v>4</v>
      </c>
    </row>
    <row r="52" spans="1:14" x14ac:dyDescent="0.25">
      <c r="A52" s="3" t="str">
        <f>HYPERLINK("http://www.ncbi.nlm.nih.gov/gene/8309","8309")</f>
        <v>8309</v>
      </c>
      <c r="B52" s="1" t="s">
        <v>154</v>
      </c>
      <c r="C52" t="s">
        <v>155</v>
      </c>
      <c r="D52">
        <v>113.5</v>
      </c>
      <c r="E52">
        <v>120.6</v>
      </c>
      <c r="F52">
        <v>100</v>
      </c>
      <c r="G52">
        <v>99.2</v>
      </c>
      <c r="H52">
        <v>138.30000000000001</v>
      </c>
      <c r="I52">
        <v>142.19999999999999</v>
      </c>
      <c r="J52">
        <v>100</v>
      </c>
      <c r="K52">
        <v>100</v>
      </c>
      <c r="L52" s="1" t="s">
        <v>154</v>
      </c>
      <c r="M52" t="s">
        <v>96</v>
      </c>
      <c r="N52">
        <v>4</v>
      </c>
    </row>
    <row r="53" spans="1:14" x14ac:dyDescent="0.25">
      <c r="A53" s="3" t="str">
        <f>HYPERLINK("http://www.ncbi.nlm.nih.gov/gene/93650","93650")</f>
        <v>93650</v>
      </c>
      <c r="B53" s="1" t="s">
        <v>156</v>
      </c>
      <c r="C53" t="s">
        <v>157</v>
      </c>
      <c r="D53">
        <v>96.1</v>
      </c>
      <c r="E53">
        <v>97.1</v>
      </c>
      <c r="F53">
        <v>97.2</v>
      </c>
      <c r="G53">
        <v>88.8</v>
      </c>
      <c r="H53">
        <v>160.5</v>
      </c>
      <c r="I53">
        <v>164.4</v>
      </c>
      <c r="J53">
        <v>100</v>
      </c>
      <c r="K53">
        <v>100</v>
      </c>
      <c r="L53" s="1" t="s">
        <v>156</v>
      </c>
      <c r="M53" t="s">
        <v>158</v>
      </c>
      <c r="N53">
        <v>2</v>
      </c>
    </row>
    <row r="54" spans="1:14" x14ac:dyDescent="0.25">
      <c r="A54" s="3" t="str">
        <f>HYPERLINK("http://www.ncbi.nlm.nih.gov/gene/54","54")</f>
        <v>54</v>
      </c>
      <c r="B54" s="1" t="s">
        <v>159</v>
      </c>
      <c r="C54" t="s">
        <v>160</v>
      </c>
      <c r="D54">
        <v>179.8</v>
      </c>
      <c r="E54">
        <v>186.4</v>
      </c>
      <c r="F54">
        <v>99.8</v>
      </c>
      <c r="G54">
        <v>98.3</v>
      </c>
      <c r="H54">
        <v>137</v>
      </c>
      <c r="I54">
        <v>143.1</v>
      </c>
      <c r="J54">
        <v>100</v>
      </c>
      <c r="K54">
        <v>100</v>
      </c>
      <c r="L54" s="1" t="s">
        <v>159</v>
      </c>
      <c r="M54" t="s">
        <v>161</v>
      </c>
      <c r="N54">
        <v>4</v>
      </c>
    </row>
    <row r="55" spans="1:14" x14ac:dyDescent="0.25">
      <c r="A55" s="3" t="str">
        <f>HYPERLINK("http://www.ncbi.nlm.nih.gov/gene/197322","197322")</f>
        <v>197322</v>
      </c>
      <c r="B55" s="1" t="s">
        <v>162</v>
      </c>
      <c r="D55">
        <v>144.4</v>
      </c>
      <c r="E55">
        <v>148.4</v>
      </c>
      <c r="F55">
        <v>100</v>
      </c>
      <c r="G55">
        <v>99.9</v>
      </c>
      <c r="H55">
        <v>141.1</v>
      </c>
      <c r="I55">
        <v>143.4</v>
      </c>
      <c r="J55">
        <v>100</v>
      </c>
      <c r="K55">
        <v>100</v>
      </c>
      <c r="L55" s="1" t="s">
        <v>162</v>
      </c>
      <c r="M55" t="s">
        <v>163</v>
      </c>
      <c r="N55">
        <v>5</v>
      </c>
    </row>
    <row r="56" spans="1:14" x14ac:dyDescent="0.25">
      <c r="A56" s="3" t="str">
        <f>HYPERLINK("http://www.ncbi.nlm.nih.gov/gene/2182","2182")</f>
        <v>2182</v>
      </c>
      <c r="B56" s="1" t="s">
        <v>164</v>
      </c>
      <c r="C56" t="s">
        <v>165</v>
      </c>
      <c r="D56">
        <v>124.5</v>
      </c>
      <c r="E56">
        <v>131.9</v>
      </c>
      <c r="F56">
        <v>98.7</v>
      </c>
      <c r="G56">
        <v>94.6</v>
      </c>
      <c r="H56">
        <v>122.4</v>
      </c>
      <c r="I56">
        <v>126</v>
      </c>
      <c r="J56">
        <v>100</v>
      </c>
      <c r="K56">
        <v>100</v>
      </c>
      <c r="L56" s="1" t="s">
        <v>164</v>
      </c>
      <c r="M56" t="s">
        <v>166</v>
      </c>
      <c r="N56">
        <v>3</v>
      </c>
    </row>
    <row r="57" spans="1:14" x14ac:dyDescent="0.25">
      <c r="A57" s="3" t="str">
        <f>HYPERLINK("http://www.ncbi.nlm.nih.gov/gene/23305","23305")</f>
        <v>23305</v>
      </c>
      <c r="B57" s="1" t="s">
        <v>167</v>
      </c>
      <c r="C57" t="s">
        <v>168</v>
      </c>
      <c r="D57">
        <v>116.1</v>
      </c>
      <c r="E57">
        <v>119.2</v>
      </c>
      <c r="F57">
        <v>96.5</v>
      </c>
      <c r="G57">
        <v>95</v>
      </c>
      <c r="H57">
        <v>124.1</v>
      </c>
      <c r="I57">
        <v>127.2</v>
      </c>
      <c r="J57">
        <v>97.1</v>
      </c>
      <c r="K57">
        <v>97.1</v>
      </c>
      <c r="L57" s="1" t="s">
        <v>167</v>
      </c>
      <c r="M57" t="s">
        <v>22</v>
      </c>
      <c r="N57">
        <v>1</v>
      </c>
    </row>
    <row r="58" spans="1:14" x14ac:dyDescent="0.25">
      <c r="A58" s="3" t="str">
        <f>HYPERLINK("http://www.ncbi.nlm.nih.gov/gene/58","58")</f>
        <v>58</v>
      </c>
      <c r="B58" s="1" t="s">
        <v>169</v>
      </c>
      <c r="C58" t="s">
        <v>170</v>
      </c>
      <c r="D58">
        <v>93</v>
      </c>
      <c r="E58">
        <v>86.4</v>
      </c>
      <c r="F58">
        <v>99.6</v>
      </c>
      <c r="G58">
        <v>92.3</v>
      </c>
      <c r="H58">
        <v>196.6</v>
      </c>
      <c r="I58">
        <v>200.7</v>
      </c>
      <c r="J58">
        <v>100</v>
      </c>
      <c r="K58">
        <v>100</v>
      </c>
      <c r="L58" s="1" t="s">
        <v>169</v>
      </c>
      <c r="M58" t="s">
        <v>171</v>
      </c>
      <c r="N58">
        <v>5</v>
      </c>
    </row>
    <row r="59" spans="1:14" x14ac:dyDescent="0.25">
      <c r="A59" s="3" t="str">
        <f>HYPERLINK("http://www.ncbi.nlm.nih.gov/gene/59","59")</f>
        <v>59</v>
      </c>
      <c r="B59" s="1" t="s">
        <v>172</v>
      </c>
      <c r="C59" t="s">
        <v>173</v>
      </c>
      <c r="D59">
        <v>103.1</v>
      </c>
      <c r="E59">
        <v>107.2</v>
      </c>
      <c r="F59">
        <v>100</v>
      </c>
      <c r="G59">
        <v>99</v>
      </c>
      <c r="H59">
        <v>160.6</v>
      </c>
      <c r="I59">
        <v>165.1</v>
      </c>
      <c r="J59">
        <v>100</v>
      </c>
      <c r="K59">
        <v>100</v>
      </c>
      <c r="L59" s="1" t="s">
        <v>172</v>
      </c>
      <c r="M59" t="s">
        <v>174</v>
      </c>
      <c r="N59">
        <v>5</v>
      </c>
    </row>
    <row r="60" spans="1:14" x14ac:dyDescent="0.25">
      <c r="A60" s="3" t="str">
        <f>HYPERLINK("http://www.ncbi.nlm.nih.gov/gene/60","60")</f>
        <v>60</v>
      </c>
      <c r="B60" s="1" t="s">
        <v>175</v>
      </c>
      <c r="C60" t="s">
        <v>176</v>
      </c>
      <c r="D60">
        <v>83.4</v>
      </c>
      <c r="E60">
        <v>74.3</v>
      </c>
      <c r="F60">
        <v>99.7</v>
      </c>
      <c r="G60">
        <v>96.1</v>
      </c>
      <c r="H60">
        <v>246</v>
      </c>
      <c r="I60">
        <v>254.8</v>
      </c>
      <c r="J60">
        <v>100</v>
      </c>
      <c r="K60">
        <v>100</v>
      </c>
      <c r="L60" s="1" t="s">
        <v>175</v>
      </c>
      <c r="M60" t="s">
        <v>177</v>
      </c>
      <c r="N60">
        <v>10</v>
      </c>
    </row>
    <row r="61" spans="1:14" x14ac:dyDescent="0.25">
      <c r="A61" s="3" t="str">
        <f>HYPERLINK("http://www.ncbi.nlm.nih.gov/gene/70","70")</f>
        <v>70</v>
      </c>
      <c r="B61" s="1" t="s">
        <v>178</v>
      </c>
      <c r="C61" t="s">
        <v>179</v>
      </c>
      <c r="D61">
        <v>119.4</v>
      </c>
      <c r="E61">
        <v>119.1</v>
      </c>
      <c r="F61">
        <v>100</v>
      </c>
      <c r="G61">
        <v>99.7</v>
      </c>
      <c r="H61">
        <v>197.6</v>
      </c>
      <c r="I61">
        <v>205.8</v>
      </c>
      <c r="J61">
        <v>100</v>
      </c>
      <c r="K61">
        <v>100</v>
      </c>
      <c r="L61" s="1" t="s">
        <v>178</v>
      </c>
      <c r="M61" t="s">
        <v>180</v>
      </c>
      <c r="N61">
        <v>3</v>
      </c>
    </row>
    <row r="62" spans="1:14" x14ac:dyDescent="0.25">
      <c r="A62" s="3" t="str">
        <f>HYPERLINK("http://www.ncbi.nlm.nih.gov/gene/71","71")</f>
        <v>71</v>
      </c>
      <c r="B62" s="1" t="s">
        <v>181</v>
      </c>
      <c r="C62" t="s">
        <v>182</v>
      </c>
      <c r="D62">
        <v>135.5</v>
      </c>
      <c r="E62">
        <v>121.5</v>
      </c>
      <c r="F62">
        <v>100</v>
      </c>
      <c r="G62">
        <v>100</v>
      </c>
      <c r="H62">
        <v>221.3</v>
      </c>
      <c r="I62">
        <v>229.6</v>
      </c>
      <c r="J62">
        <v>100</v>
      </c>
      <c r="K62">
        <v>100</v>
      </c>
      <c r="L62" s="1" t="s">
        <v>181</v>
      </c>
      <c r="M62" t="s">
        <v>183</v>
      </c>
      <c r="N62">
        <v>4</v>
      </c>
    </row>
    <row r="63" spans="1:14" x14ac:dyDescent="0.25">
      <c r="A63" s="3" t="str">
        <f>HYPERLINK("http://www.ncbi.nlm.nih.gov/gene/72","72")</f>
        <v>72</v>
      </c>
      <c r="B63" s="1" t="s">
        <v>184</v>
      </c>
      <c r="C63" t="s">
        <v>185</v>
      </c>
      <c r="D63">
        <v>115.3</v>
      </c>
      <c r="E63">
        <v>119.3</v>
      </c>
      <c r="F63">
        <v>99.9</v>
      </c>
      <c r="G63">
        <v>98.2</v>
      </c>
      <c r="H63">
        <v>173.3</v>
      </c>
      <c r="I63">
        <v>179.3</v>
      </c>
      <c r="J63">
        <v>100</v>
      </c>
      <c r="K63">
        <v>100</v>
      </c>
      <c r="L63" s="1" t="s">
        <v>184</v>
      </c>
      <c r="M63" t="s">
        <v>186</v>
      </c>
      <c r="N63">
        <v>2</v>
      </c>
    </row>
    <row r="64" spans="1:14" x14ac:dyDescent="0.25">
      <c r="A64" s="3" t="str">
        <f>HYPERLINK("http://www.ncbi.nlm.nih.gov/gene/86","86")</f>
        <v>86</v>
      </c>
      <c r="B64" s="1" t="s">
        <v>187</v>
      </c>
      <c r="C64" t="s">
        <v>188</v>
      </c>
      <c r="D64">
        <v>147.69999999999999</v>
      </c>
      <c r="E64">
        <v>150.5</v>
      </c>
      <c r="F64">
        <v>99.8</v>
      </c>
      <c r="G64">
        <v>98.7</v>
      </c>
      <c r="H64">
        <v>124.1</v>
      </c>
      <c r="I64">
        <v>126.4</v>
      </c>
      <c r="J64">
        <v>100</v>
      </c>
      <c r="K64">
        <v>100</v>
      </c>
      <c r="L64" s="1" t="s">
        <v>187</v>
      </c>
      <c r="M64" t="s">
        <v>189</v>
      </c>
      <c r="N64">
        <v>2</v>
      </c>
    </row>
    <row r="65" spans="1:14" x14ac:dyDescent="0.25">
      <c r="A65" s="3" t="str">
        <f>HYPERLINK("http://www.ncbi.nlm.nih.gov/gene/51412","51412")</f>
        <v>51412</v>
      </c>
      <c r="B65" s="1" t="s">
        <v>190</v>
      </c>
      <c r="C65" t="s">
        <v>191</v>
      </c>
      <c r="D65">
        <v>141.19999999999999</v>
      </c>
      <c r="E65">
        <v>143.9</v>
      </c>
      <c r="F65">
        <v>100</v>
      </c>
      <c r="G65">
        <v>99.8</v>
      </c>
      <c r="H65">
        <v>119.6</v>
      </c>
      <c r="I65">
        <v>121.5</v>
      </c>
      <c r="J65">
        <v>100</v>
      </c>
      <c r="K65">
        <v>100</v>
      </c>
      <c r="L65" s="1" t="s">
        <v>190</v>
      </c>
      <c r="M65" t="s">
        <v>192</v>
      </c>
      <c r="N65">
        <v>4</v>
      </c>
    </row>
    <row r="66" spans="1:14" x14ac:dyDescent="0.25">
      <c r="A66" s="3" t="str">
        <f>HYPERLINK("http://www.ncbi.nlm.nih.gov/gene/87","87")</f>
        <v>87</v>
      </c>
      <c r="B66" s="1" t="s">
        <v>193</v>
      </c>
      <c r="C66" t="s">
        <v>194</v>
      </c>
      <c r="D66">
        <v>140.1</v>
      </c>
      <c r="E66">
        <v>146</v>
      </c>
      <c r="F66">
        <v>100</v>
      </c>
      <c r="G66">
        <v>100</v>
      </c>
      <c r="H66">
        <v>147.9</v>
      </c>
      <c r="I66">
        <v>151.80000000000001</v>
      </c>
      <c r="J66">
        <v>100</v>
      </c>
      <c r="K66">
        <v>100</v>
      </c>
      <c r="L66" s="1" t="s">
        <v>193</v>
      </c>
      <c r="M66" t="s">
        <v>16</v>
      </c>
      <c r="N66">
        <v>2</v>
      </c>
    </row>
    <row r="67" spans="1:14" x14ac:dyDescent="0.25">
      <c r="A67" s="3" t="str">
        <f>HYPERLINK("http://www.ncbi.nlm.nih.gov/gene/88","88")</f>
        <v>88</v>
      </c>
      <c r="B67" s="1" t="s">
        <v>195</v>
      </c>
      <c r="C67" t="s">
        <v>196</v>
      </c>
      <c r="D67">
        <v>144.19999999999999</v>
      </c>
      <c r="E67">
        <v>147.30000000000001</v>
      </c>
      <c r="F67">
        <v>100</v>
      </c>
      <c r="G67">
        <v>100</v>
      </c>
      <c r="H67">
        <v>137.69999999999999</v>
      </c>
      <c r="I67">
        <v>141.5</v>
      </c>
      <c r="J67">
        <v>100</v>
      </c>
      <c r="K67">
        <v>100</v>
      </c>
      <c r="L67" s="1" t="s">
        <v>195</v>
      </c>
      <c r="M67" t="s">
        <v>197</v>
      </c>
      <c r="N67">
        <v>2</v>
      </c>
    </row>
    <row r="68" spans="1:14" x14ac:dyDescent="0.25">
      <c r="A68" s="3" t="str">
        <f>HYPERLINK("http://www.ncbi.nlm.nih.gov/gene/81","81")</f>
        <v>81</v>
      </c>
      <c r="B68" s="1" t="s">
        <v>198</v>
      </c>
      <c r="C68" t="s">
        <v>199</v>
      </c>
      <c r="D68">
        <v>133.19999999999999</v>
      </c>
      <c r="E68">
        <v>134</v>
      </c>
      <c r="F68">
        <v>100</v>
      </c>
      <c r="G68">
        <v>99.3</v>
      </c>
      <c r="H68">
        <v>154.4</v>
      </c>
      <c r="I68">
        <v>158.69999999999999</v>
      </c>
      <c r="J68">
        <v>100</v>
      </c>
      <c r="K68">
        <v>100</v>
      </c>
      <c r="L68" s="1" t="s">
        <v>198</v>
      </c>
      <c r="M68" t="s">
        <v>200</v>
      </c>
      <c r="N68">
        <v>2</v>
      </c>
    </row>
    <row r="69" spans="1:14" x14ac:dyDescent="0.25">
      <c r="A69" s="3" t="str">
        <f>HYPERLINK("http://www.ncbi.nlm.nih.gov/gene/90","90")</f>
        <v>90</v>
      </c>
      <c r="B69" s="1" t="s">
        <v>201</v>
      </c>
      <c r="C69" t="s">
        <v>202</v>
      </c>
      <c r="D69">
        <v>172.1</v>
      </c>
      <c r="E69">
        <v>181.9</v>
      </c>
      <c r="F69">
        <v>100</v>
      </c>
      <c r="G69">
        <v>100</v>
      </c>
      <c r="H69">
        <v>141.30000000000001</v>
      </c>
      <c r="I69">
        <v>144.6</v>
      </c>
      <c r="J69">
        <v>100</v>
      </c>
      <c r="K69">
        <v>100</v>
      </c>
      <c r="L69" s="1" t="s">
        <v>201</v>
      </c>
      <c r="M69" t="s">
        <v>203</v>
      </c>
      <c r="N69">
        <v>5</v>
      </c>
    </row>
    <row r="70" spans="1:14" x14ac:dyDescent="0.25">
      <c r="A70" s="3" t="str">
        <f>HYPERLINK("http://www.ncbi.nlm.nih.gov/gene/91","91")</f>
        <v>91</v>
      </c>
      <c r="B70" s="1" t="s">
        <v>204</v>
      </c>
      <c r="C70" t="s">
        <v>205</v>
      </c>
      <c r="D70">
        <v>160.9</v>
      </c>
      <c r="E70">
        <v>165.2</v>
      </c>
      <c r="F70">
        <v>99.7</v>
      </c>
      <c r="G70">
        <v>97.4</v>
      </c>
      <c r="H70">
        <v>130.30000000000001</v>
      </c>
      <c r="I70">
        <v>133.30000000000001</v>
      </c>
      <c r="J70">
        <v>100</v>
      </c>
      <c r="K70">
        <v>100</v>
      </c>
      <c r="L70" s="1" t="s">
        <v>204</v>
      </c>
      <c r="M70" t="s">
        <v>22</v>
      </c>
      <c r="N70">
        <v>1</v>
      </c>
    </row>
    <row r="71" spans="1:14" x14ac:dyDescent="0.25">
      <c r="A71" s="3" t="str">
        <f>HYPERLINK("http://www.ncbi.nlm.nih.gov/gene/93","93")</f>
        <v>93</v>
      </c>
      <c r="B71" s="1" t="s">
        <v>206</v>
      </c>
      <c r="C71" t="s">
        <v>207</v>
      </c>
      <c r="D71">
        <v>130.6</v>
      </c>
      <c r="E71">
        <v>133</v>
      </c>
      <c r="F71">
        <v>98.3</v>
      </c>
      <c r="G71">
        <v>95</v>
      </c>
      <c r="H71">
        <v>136.6</v>
      </c>
      <c r="I71">
        <v>141.4</v>
      </c>
      <c r="J71">
        <v>100</v>
      </c>
      <c r="K71">
        <v>100</v>
      </c>
      <c r="L71" s="1" t="s">
        <v>206</v>
      </c>
      <c r="M71" t="s">
        <v>208</v>
      </c>
      <c r="N71">
        <v>4</v>
      </c>
    </row>
    <row r="72" spans="1:14" x14ac:dyDescent="0.25">
      <c r="A72" s="3" t="str">
        <f>HYPERLINK("http://www.ncbi.nlm.nih.gov/gene/94","94")</f>
        <v>94</v>
      </c>
      <c r="B72" s="1" t="s">
        <v>209</v>
      </c>
      <c r="C72" t="s">
        <v>210</v>
      </c>
      <c r="D72">
        <v>119.5</v>
      </c>
      <c r="E72">
        <v>122.9</v>
      </c>
      <c r="F72">
        <v>100</v>
      </c>
      <c r="G72">
        <v>98.9</v>
      </c>
      <c r="H72">
        <v>137.69999999999999</v>
      </c>
      <c r="I72">
        <v>142.6</v>
      </c>
      <c r="J72">
        <v>100</v>
      </c>
      <c r="K72">
        <v>100</v>
      </c>
      <c r="L72" s="1" t="s">
        <v>209</v>
      </c>
      <c r="M72" t="s">
        <v>211</v>
      </c>
      <c r="N72">
        <v>4</v>
      </c>
    </row>
    <row r="73" spans="1:14" x14ac:dyDescent="0.25">
      <c r="A73" s="3" t="str">
        <f>HYPERLINK("http://www.ncbi.nlm.nih.gov/gene/95","95")</f>
        <v>95</v>
      </c>
      <c r="B73" s="1" t="s">
        <v>212</v>
      </c>
      <c r="C73" t="s">
        <v>213</v>
      </c>
      <c r="D73">
        <v>129.30000000000001</v>
      </c>
      <c r="E73">
        <v>131.69999999999999</v>
      </c>
      <c r="F73">
        <v>100</v>
      </c>
      <c r="G73">
        <v>98.8</v>
      </c>
      <c r="H73">
        <v>137.1</v>
      </c>
      <c r="I73">
        <v>139.30000000000001</v>
      </c>
      <c r="J73">
        <v>100</v>
      </c>
      <c r="K73">
        <v>100</v>
      </c>
      <c r="L73" s="1" t="s">
        <v>212</v>
      </c>
      <c r="M73" t="s">
        <v>214</v>
      </c>
      <c r="N73">
        <v>5</v>
      </c>
    </row>
    <row r="74" spans="1:14" x14ac:dyDescent="0.25">
      <c r="A74" s="3" t="str">
        <f>HYPERLINK("http://www.ncbi.nlm.nih.gov/gene/100","100")</f>
        <v>100</v>
      </c>
      <c r="B74" s="1" t="s">
        <v>215</v>
      </c>
      <c r="C74" t="s">
        <v>216</v>
      </c>
      <c r="D74">
        <v>103.6</v>
      </c>
      <c r="E74">
        <v>105.4</v>
      </c>
      <c r="F74">
        <v>100</v>
      </c>
      <c r="G74">
        <v>99.7</v>
      </c>
      <c r="H74">
        <v>131.6</v>
      </c>
      <c r="I74">
        <v>134.30000000000001</v>
      </c>
      <c r="J74">
        <v>100</v>
      </c>
      <c r="K74">
        <v>100</v>
      </c>
      <c r="L74" s="1" t="s">
        <v>215</v>
      </c>
      <c r="M74" t="s">
        <v>217</v>
      </c>
      <c r="N74">
        <v>5</v>
      </c>
    </row>
    <row r="75" spans="1:14" x14ac:dyDescent="0.25">
      <c r="A75" s="3" t="str">
        <f>HYPERLINK("http://www.ncbi.nlm.nih.gov/gene/51816","51816")</f>
        <v>51816</v>
      </c>
      <c r="B75" s="1" t="s">
        <v>218</v>
      </c>
      <c r="C75" t="s">
        <v>219</v>
      </c>
      <c r="D75">
        <v>88.9</v>
      </c>
      <c r="E75">
        <v>90.5</v>
      </c>
      <c r="F75">
        <v>100</v>
      </c>
      <c r="G75">
        <v>99</v>
      </c>
      <c r="H75">
        <v>134</v>
      </c>
      <c r="I75">
        <v>138.69999999999999</v>
      </c>
      <c r="J75">
        <v>100</v>
      </c>
      <c r="K75">
        <v>100</v>
      </c>
      <c r="L75" s="1" t="s">
        <v>218</v>
      </c>
      <c r="M75" t="s">
        <v>220</v>
      </c>
      <c r="N75">
        <v>5</v>
      </c>
    </row>
    <row r="76" spans="1:14" x14ac:dyDescent="0.25">
      <c r="A76" s="3" t="str">
        <f>HYPERLINK("http://www.ncbi.nlm.nih.gov/gene/102","102")</f>
        <v>102</v>
      </c>
      <c r="B76" s="1" t="s">
        <v>221</v>
      </c>
      <c r="C76" t="s">
        <v>222</v>
      </c>
      <c r="D76">
        <v>150.6</v>
      </c>
      <c r="E76">
        <v>154.1</v>
      </c>
      <c r="F76">
        <v>94.8</v>
      </c>
      <c r="G76">
        <v>93.9</v>
      </c>
      <c r="H76">
        <v>134.19999999999999</v>
      </c>
      <c r="I76">
        <v>138.1</v>
      </c>
      <c r="J76">
        <v>100</v>
      </c>
      <c r="K76">
        <v>100</v>
      </c>
      <c r="L76" s="1" t="s">
        <v>221</v>
      </c>
      <c r="M76" t="s">
        <v>29</v>
      </c>
      <c r="N76">
        <v>2</v>
      </c>
    </row>
    <row r="77" spans="1:14" x14ac:dyDescent="0.25">
      <c r="A77" s="3" t="str">
        <f>HYPERLINK("http://www.ncbi.nlm.nih.gov/gene/6868","6868")</f>
        <v>6868</v>
      </c>
      <c r="B77" s="1" t="s">
        <v>223</v>
      </c>
      <c r="C77" t="s">
        <v>224</v>
      </c>
      <c r="D77">
        <v>146.6</v>
      </c>
      <c r="E77">
        <v>151.6</v>
      </c>
      <c r="F77">
        <v>99.9</v>
      </c>
      <c r="G77">
        <v>99</v>
      </c>
      <c r="H77">
        <v>133.19999999999999</v>
      </c>
      <c r="I77">
        <v>137</v>
      </c>
      <c r="J77">
        <v>100</v>
      </c>
      <c r="K77">
        <v>100</v>
      </c>
      <c r="L77" s="1" t="s">
        <v>223</v>
      </c>
      <c r="M77" t="s">
        <v>225</v>
      </c>
      <c r="N77">
        <v>4</v>
      </c>
    </row>
    <row r="78" spans="1:14" x14ac:dyDescent="0.25">
      <c r="A78" s="3" t="str">
        <f>HYPERLINK("http://www.ncbi.nlm.nih.gov/gene/53616","53616")</f>
        <v>53616</v>
      </c>
      <c r="B78" s="1" t="s">
        <v>226</v>
      </c>
      <c r="C78" t="s">
        <v>227</v>
      </c>
      <c r="D78">
        <v>151.5</v>
      </c>
      <c r="E78">
        <v>154.19999999999999</v>
      </c>
      <c r="F78">
        <v>99.9</v>
      </c>
      <c r="G78">
        <v>99.5</v>
      </c>
      <c r="H78">
        <v>123.8</v>
      </c>
      <c r="I78">
        <v>126.4</v>
      </c>
      <c r="J78">
        <v>100</v>
      </c>
      <c r="K78">
        <v>100</v>
      </c>
      <c r="L78" s="1" t="s">
        <v>226</v>
      </c>
      <c r="M78" t="s">
        <v>228</v>
      </c>
      <c r="N78">
        <v>3</v>
      </c>
    </row>
    <row r="79" spans="1:14" x14ac:dyDescent="0.25">
      <c r="A79" s="3" t="str">
        <f>HYPERLINK("http://www.ncbi.nlm.nih.gov/gene/8754","8754")</f>
        <v>8754</v>
      </c>
      <c r="B79" s="1" t="s">
        <v>229</v>
      </c>
      <c r="C79" t="s">
        <v>230</v>
      </c>
      <c r="D79">
        <v>169.4</v>
      </c>
      <c r="E79">
        <v>174.5</v>
      </c>
      <c r="F79">
        <v>99.8</v>
      </c>
      <c r="G79">
        <v>99.1</v>
      </c>
      <c r="H79">
        <v>133.69999999999999</v>
      </c>
      <c r="I79">
        <v>137.30000000000001</v>
      </c>
      <c r="J79">
        <v>100</v>
      </c>
      <c r="K79">
        <v>100</v>
      </c>
      <c r="L79" s="1" t="s">
        <v>229</v>
      </c>
      <c r="M79" t="s">
        <v>56</v>
      </c>
      <c r="N79">
        <v>3</v>
      </c>
    </row>
    <row r="80" spans="1:14" x14ac:dyDescent="0.25">
      <c r="A80" s="3" t="str">
        <f>HYPERLINK("http://www.ncbi.nlm.nih.gov/gene/81794","81794")</f>
        <v>81794</v>
      </c>
      <c r="B80" s="1" t="s">
        <v>231</v>
      </c>
      <c r="C80" t="s">
        <v>232</v>
      </c>
      <c r="D80">
        <v>122.6</v>
      </c>
      <c r="E80">
        <v>125.3</v>
      </c>
      <c r="F80">
        <v>99.9</v>
      </c>
      <c r="G80">
        <v>98.5</v>
      </c>
      <c r="H80">
        <v>143</v>
      </c>
      <c r="I80">
        <v>146.5</v>
      </c>
      <c r="J80">
        <v>100</v>
      </c>
      <c r="K80">
        <v>100</v>
      </c>
      <c r="L80" s="1" t="s">
        <v>231</v>
      </c>
      <c r="M80" t="s">
        <v>233</v>
      </c>
      <c r="N80">
        <v>5</v>
      </c>
    </row>
    <row r="81" spans="1:14" x14ac:dyDescent="0.25">
      <c r="A81" s="3" t="str">
        <f>HYPERLINK("http://www.ncbi.nlm.nih.gov/gene/11093","11093")</f>
        <v>11093</v>
      </c>
      <c r="B81" s="1" t="s">
        <v>234</v>
      </c>
      <c r="C81" t="s">
        <v>235</v>
      </c>
      <c r="D81">
        <v>95.1</v>
      </c>
      <c r="E81">
        <v>98</v>
      </c>
      <c r="F81">
        <v>97.1</v>
      </c>
      <c r="G81">
        <v>93.8</v>
      </c>
      <c r="H81">
        <v>141.69999999999999</v>
      </c>
      <c r="I81">
        <v>145.69999999999999</v>
      </c>
      <c r="J81">
        <v>99.9</v>
      </c>
      <c r="K81">
        <v>99.5</v>
      </c>
      <c r="L81" s="1" t="s">
        <v>234</v>
      </c>
      <c r="M81" t="s">
        <v>236</v>
      </c>
      <c r="N81">
        <v>4</v>
      </c>
    </row>
    <row r="82" spans="1:14" x14ac:dyDescent="0.25">
      <c r="A82" s="3" t="str">
        <f>HYPERLINK("http://www.ncbi.nlm.nih.gov/gene/170691","170691")</f>
        <v>170691</v>
      </c>
      <c r="B82" s="1" t="s">
        <v>237</v>
      </c>
      <c r="C82" t="s">
        <v>238</v>
      </c>
      <c r="D82">
        <v>117.8</v>
      </c>
      <c r="E82">
        <v>125.2</v>
      </c>
      <c r="F82">
        <v>92.8</v>
      </c>
      <c r="G82">
        <v>89</v>
      </c>
      <c r="H82">
        <v>141</v>
      </c>
      <c r="I82">
        <v>144.9</v>
      </c>
      <c r="J82">
        <v>97.6</v>
      </c>
      <c r="K82">
        <v>95.8</v>
      </c>
      <c r="L82" s="1" t="s">
        <v>237</v>
      </c>
      <c r="M82" t="s">
        <v>239</v>
      </c>
      <c r="N82">
        <v>4</v>
      </c>
    </row>
    <row r="83" spans="1:14" x14ac:dyDescent="0.25">
      <c r="A83" s="3" t="str">
        <f>HYPERLINK("http://www.ncbi.nlm.nih.gov/gene/170692","170692")</f>
        <v>170692</v>
      </c>
      <c r="B83" s="1" t="s">
        <v>240</v>
      </c>
      <c r="C83" t="s">
        <v>241</v>
      </c>
      <c r="D83">
        <v>156.9</v>
      </c>
      <c r="E83">
        <v>163.4</v>
      </c>
      <c r="F83">
        <v>100</v>
      </c>
      <c r="G83">
        <v>99.7</v>
      </c>
      <c r="H83">
        <v>144.69999999999999</v>
      </c>
      <c r="I83">
        <v>149</v>
      </c>
      <c r="J83">
        <v>100</v>
      </c>
      <c r="K83">
        <v>100</v>
      </c>
      <c r="L83" s="1" t="s">
        <v>240</v>
      </c>
      <c r="M83" t="s">
        <v>56</v>
      </c>
      <c r="N83">
        <v>3</v>
      </c>
    </row>
    <row r="84" spans="1:14" x14ac:dyDescent="0.25">
      <c r="A84" s="3" t="str">
        <f>HYPERLINK("http://www.ncbi.nlm.nih.gov/gene/171019","171019")</f>
        <v>171019</v>
      </c>
      <c r="B84" s="1" t="s">
        <v>242</v>
      </c>
      <c r="D84">
        <v>132.6</v>
      </c>
      <c r="E84">
        <v>135.69999999999999</v>
      </c>
      <c r="F84">
        <v>95</v>
      </c>
      <c r="G84">
        <v>91.6</v>
      </c>
      <c r="H84">
        <v>135</v>
      </c>
      <c r="I84">
        <v>138.69999999999999</v>
      </c>
      <c r="J84">
        <v>100</v>
      </c>
      <c r="K84">
        <v>100</v>
      </c>
      <c r="L84" s="1" t="s">
        <v>242</v>
      </c>
      <c r="M84" t="s">
        <v>243</v>
      </c>
      <c r="N84">
        <v>2</v>
      </c>
    </row>
    <row r="85" spans="1:14" x14ac:dyDescent="0.25">
      <c r="A85" s="3" t="str">
        <f>HYPERLINK("http://www.ncbi.nlm.nih.gov/gene/9509","9509")</f>
        <v>9509</v>
      </c>
      <c r="B85" s="1" t="s">
        <v>244</v>
      </c>
      <c r="C85" t="s">
        <v>245</v>
      </c>
      <c r="D85">
        <v>123.3</v>
      </c>
      <c r="E85">
        <v>126.4</v>
      </c>
      <c r="F85">
        <v>99</v>
      </c>
      <c r="G85">
        <v>96.7</v>
      </c>
      <c r="H85">
        <v>149.69999999999999</v>
      </c>
      <c r="I85">
        <v>154.80000000000001</v>
      </c>
      <c r="J85">
        <v>98.1</v>
      </c>
      <c r="K85">
        <v>97.9</v>
      </c>
      <c r="L85" s="1" t="s">
        <v>244</v>
      </c>
      <c r="M85" t="s">
        <v>246</v>
      </c>
      <c r="N85">
        <v>3</v>
      </c>
    </row>
    <row r="86" spans="1:14" x14ac:dyDescent="0.25">
      <c r="A86" s="3" t="str">
        <f>HYPERLINK("http://www.ncbi.nlm.nih.gov/gene/9508","9508")</f>
        <v>9508</v>
      </c>
      <c r="B86" s="1" t="s">
        <v>247</v>
      </c>
      <c r="C86" t="s">
        <v>248</v>
      </c>
      <c r="D86">
        <v>165.1</v>
      </c>
      <c r="E86">
        <v>170.6</v>
      </c>
      <c r="F86">
        <v>100</v>
      </c>
      <c r="G86">
        <v>100</v>
      </c>
      <c r="H86">
        <v>149.1</v>
      </c>
      <c r="I86">
        <v>153.5</v>
      </c>
      <c r="J86">
        <v>100</v>
      </c>
      <c r="K86">
        <v>100</v>
      </c>
      <c r="L86" s="1" t="s">
        <v>247</v>
      </c>
      <c r="M86" t="s">
        <v>246</v>
      </c>
      <c r="N86">
        <v>3</v>
      </c>
    </row>
    <row r="87" spans="1:14" x14ac:dyDescent="0.25">
      <c r="A87" s="3" t="str">
        <f>HYPERLINK("http://www.ncbi.nlm.nih.gov/gene/56999","56999")</f>
        <v>56999</v>
      </c>
      <c r="B87" s="1" t="s">
        <v>249</v>
      </c>
      <c r="D87">
        <v>137.1</v>
      </c>
      <c r="E87">
        <v>141.1</v>
      </c>
      <c r="F87">
        <v>99.5</v>
      </c>
      <c r="G87">
        <v>98.7</v>
      </c>
      <c r="H87">
        <v>148.9</v>
      </c>
      <c r="I87">
        <v>153.6</v>
      </c>
      <c r="J87">
        <v>100</v>
      </c>
      <c r="K87">
        <v>100</v>
      </c>
      <c r="L87" s="1" t="s">
        <v>249</v>
      </c>
      <c r="M87" t="s">
        <v>250</v>
      </c>
      <c r="N87">
        <v>3</v>
      </c>
    </row>
    <row r="88" spans="1:14" x14ac:dyDescent="0.25">
      <c r="A88" s="3" t="str">
        <f>HYPERLINK("http://www.ncbi.nlm.nih.gov/gene/9719","9719")</f>
        <v>9719</v>
      </c>
      <c r="B88" s="1" t="s">
        <v>251</v>
      </c>
      <c r="C88" t="s">
        <v>252</v>
      </c>
      <c r="D88">
        <v>109</v>
      </c>
      <c r="E88">
        <v>114.3</v>
      </c>
      <c r="F88">
        <v>97.1</v>
      </c>
      <c r="G88">
        <v>93.3</v>
      </c>
      <c r="H88">
        <v>100.6</v>
      </c>
      <c r="I88">
        <v>103.6</v>
      </c>
      <c r="J88">
        <v>99.8</v>
      </c>
      <c r="K88">
        <v>99.4</v>
      </c>
      <c r="L88" s="1" t="s">
        <v>251</v>
      </c>
      <c r="M88" t="s">
        <v>239</v>
      </c>
      <c r="N88">
        <v>4</v>
      </c>
    </row>
    <row r="89" spans="1:14" x14ac:dyDescent="0.25">
      <c r="A89" s="3" t="str">
        <f>HYPERLINK("http://www.ncbi.nlm.nih.gov/gene/54507","54507")</f>
        <v>54507</v>
      </c>
      <c r="B89" s="1" t="s">
        <v>253</v>
      </c>
      <c r="C89" t="s">
        <v>254</v>
      </c>
      <c r="D89">
        <v>136.69999999999999</v>
      </c>
      <c r="E89">
        <v>134.5</v>
      </c>
      <c r="F89">
        <v>100</v>
      </c>
      <c r="G89">
        <v>99.2</v>
      </c>
      <c r="H89">
        <v>156.6</v>
      </c>
      <c r="I89">
        <v>159.6</v>
      </c>
      <c r="J89">
        <v>100</v>
      </c>
      <c r="K89">
        <v>100</v>
      </c>
      <c r="L89" s="1" t="s">
        <v>253</v>
      </c>
      <c r="M89" t="s">
        <v>255</v>
      </c>
      <c r="N89">
        <v>5</v>
      </c>
    </row>
    <row r="90" spans="1:14" x14ac:dyDescent="0.25">
      <c r="A90" s="3" t="str">
        <f>HYPERLINK("http://www.ncbi.nlm.nih.gov/gene/103","103")</f>
        <v>103</v>
      </c>
      <c r="B90" s="1" t="s">
        <v>256</v>
      </c>
      <c r="C90" t="s">
        <v>257</v>
      </c>
      <c r="D90">
        <v>125.3</v>
      </c>
      <c r="E90">
        <v>122.4</v>
      </c>
      <c r="F90">
        <v>100</v>
      </c>
      <c r="G90">
        <v>99.8</v>
      </c>
      <c r="H90">
        <v>148.5</v>
      </c>
      <c r="I90">
        <v>150.80000000000001</v>
      </c>
      <c r="J90">
        <v>100</v>
      </c>
      <c r="K90">
        <v>100</v>
      </c>
      <c r="L90" s="1" t="s">
        <v>256</v>
      </c>
      <c r="M90" t="s">
        <v>258</v>
      </c>
      <c r="N90">
        <v>6</v>
      </c>
    </row>
    <row r="91" spans="1:14" x14ac:dyDescent="0.25">
      <c r="A91" s="3" t="str">
        <f>HYPERLINK("http://www.ncbi.nlm.nih.gov/gene/104","104")</f>
        <v>104</v>
      </c>
      <c r="B91" s="1" t="s">
        <v>259</v>
      </c>
      <c r="C91" t="s">
        <v>260</v>
      </c>
      <c r="D91">
        <v>206.6</v>
      </c>
      <c r="E91">
        <v>209.7</v>
      </c>
      <c r="F91">
        <v>97.9</v>
      </c>
      <c r="G91">
        <v>95.2</v>
      </c>
      <c r="H91">
        <v>137.19999999999999</v>
      </c>
      <c r="I91">
        <v>139.4</v>
      </c>
      <c r="J91">
        <v>95.1</v>
      </c>
      <c r="K91">
        <v>95.1</v>
      </c>
      <c r="L91" s="1" t="s">
        <v>259</v>
      </c>
      <c r="M91" t="s">
        <v>228</v>
      </c>
      <c r="N91">
        <v>3</v>
      </c>
    </row>
    <row r="92" spans="1:14" x14ac:dyDescent="0.25">
      <c r="A92" s="3" t="str">
        <f>HYPERLINK("http://www.ncbi.nlm.nih.gov/gene/113179","113179")</f>
        <v>113179</v>
      </c>
      <c r="B92" s="1" t="s">
        <v>261</v>
      </c>
      <c r="C92" t="s">
        <v>262</v>
      </c>
      <c r="D92">
        <v>107.2</v>
      </c>
      <c r="E92">
        <v>89.9</v>
      </c>
      <c r="F92">
        <v>100</v>
      </c>
      <c r="G92">
        <v>99.7</v>
      </c>
      <c r="H92">
        <v>149.4</v>
      </c>
      <c r="I92">
        <v>145.5</v>
      </c>
      <c r="J92">
        <v>100</v>
      </c>
      <c r="K92">
        <v>100</v>
      </c>
      <c r="L92" s="1" t="s">
        <v>261</v>
      </c>
      <c r="M92" t="s">
        <v>228</v>
      </c>
      <c r="N92">
        <v>3</v>
      </c>
    </row>
    <row r="93" spans="1:14" x14ac:dyDescent="0.25">
      <c r="A93" s="3" t="str">
        <f>HYPERLINK("http://www.ncbi.nlm.nih.gov/gene/90956","90956")</f>
        <v>90956</v>
      </c>
      <c r="B93" s="1" t="s">
        <v>263</v>
      </c>
      <c r="C93" t="s">
        <v>264</v>
      </c>
      <c r="D93">
        <v>153.19999999999999</v>
      </c>
      <c r="E93">
        <v>168.4</v>
      </c>
      <c r="F93">
        <v>100</v>
      </c>
      <c r="G93">
        <v>100</v>
      </c>
      <c r="H93">
        <v>152.80000000000001</v>
      </c>
      <c r="I93">
        <v>156.5</v>
      </c>
      <c r="J93">
        <v>100</v>
      </c>
      <c r="K93">
        <v>100</v>
      </c>
      <c r="L93" s="1" t="s">
        <v>263</v>
      </c>
      <c r="M93" t="s">
        <v>265</v>
      </c>
      <c r="N93">
        <v>2</v>
      </c>
    </row>
    <row r="94" spans="1:14" x14ac:dyDescent="0.25">
      <c r="A94" s="3" t="str">
        <f>HYPERLINK("http://www.ncbi.nlm.nih.gov/gene/203054","203054")</f>
        <v>203054</v>
      </c>
      <c r="B94" s="1" t="s">
        <v>266</v>
      </c>
      <c r="D94">
        <v>125.4</v>
      </c>
      <c r="E94">
        <v>125.2</v>
      </c>
      <c r="F94">
        <v>100</v>
      </c>
      <c r="G94">
        <v>99.9</v>
      </c>
      <c r="H94">
        <v>141.80000000000001</v>
      </c>
      <c r="I94">
        <v>144.80000000000001</v>
      </c>
      <c r="J94">
        <v>100</v>
      </c>
      <c r="K94">
        <v>100</v>
      </c>
      <c r="L94" s="1" t="s">
        <v>266</v>
      </c>
      <c r="M94" t="s">
        <v>93</v>
      </c>
      <c r="N94">
        <v>2</v>
      </c>
    </row>
    <row r="95" spans="1:14" x14ac:dyDescent="0.25">
      <c r="A95" s="3" t="str">
        <f>HYPERLINK("http://www.ncbi.nlm.nih.gov/gene/107","107")</f>
        <v>107</v>
      </c>
      <c r="B95" s="1" t="s">
        <v>267</v>
      </c>
      <c r="C95" t="s">
        <v>268</v>
      </c>
      <c r="D95">
        <v>145.69999999999999</v>
      </c>
      <c r="E95">
        <v>152.30000000000001</v>
      </c>
      <c r="F95">
        <v>95.2</v>
      </c>
      <c r="G95">
        <v>93.8</v>
      </c>
      <c r="H95">
        <v>136.69999999999999</v>
      </c>
      <c r="I95">
        <v>143.9</v>
      </c>
      <c r="J95">
        <v>98.5</v>
      </c>
      <c r="K95">
        <v>97.9</v>
      </c>
      <c r="L95" s="1" t="s">
        <v>267</v>
      </c>
      <c r="M95" t="s">
        <v>269</v>
      </c>
      <c r="N95">
        <v>3</v>
      </c>
    </row>
    <row r="96" spans="1:14" x14ac:dyDescent="0.25">
      <c r="A96" s="3" t="str">
        <f>HYPERLINK("http://www.ncbi.nlm.nih.gov/gene/55811","55811")</f>
        <v>55811</v>
      </c>
      <c r="B96" s="1" t="s">
        <v>270</v>
      </c>
      <c r="C96" t="s">
        <v>271</v>
      </c>
      <c r="D96">
        <v>150.80000000000001</v>
      </c>
      <c r="E96">
        <v>156.69999999999999</v>
      </c>
      <c r="F96">
        <v>100</v>
      </c>
      <c r="G96">
        <v>99.9</v>
      </c>
      <c r="H96">
        <v>138.6</v>
      </c>
      <c r="I96">
        <v>142.80000000000001</v>
      </c>
      <c r="J96">
        <v>100</v>
      </c>
      <c r="K96">
        <v>100</v>
      </c>
      <c r="L96" s="1" t="s">
        <v>270</v>
      </c>
      <c r="M96" t="s">
        <v>200</v>
      </c>
      <c r="N96">
        <v>2</v>
      </c>
    </row>
    <row r="97" spans="1:14" x14ac:dyDescent="0.25">
      <c r="A97" s="3" t="str">
        <f>HYPERLINK("http://www.ncbi.nlm.nih.gov/gene/109","109")</f>
        <v>109</v>
      </c>
      <c r="B97" s="1" t="s">
        <v>272</v>
      </c>
      <c r="C97" t="s">
        <v>273</v>
      </c>
      <c r="D97">
        <v>133.69999999999999</v>
      </c>
      <c r="E97">
        <v>130.69999999999999</v>
      </c>
      <c r="F97">
        <v>100</v>
      </c>
      <c r="G97">
        <v>99.1</v>
      </c>
      <c r="H97">
        <v>137</v>
      </c>
      <c r="I97">
        <v>140.80000000000001</v>
      </c>
      <c r="J97">
        <v>100</v>
      </c>
      <c r="K97">
        <v>100</v>
      </c>
      <c r="L97" s="1" t="s">
        <v>272</v>
      </c>
      <c r="M97" t="s">
        <v>274</v>
      </c>
      <c r="N97">
        <v>3</v>
      </c>
    </row>
    <row r="98" spans="1:14" x14ac:dyDescent="0.25">
      <c r="A98" s="3" t="str">
        <f>HYPERLINK("http://www.ncbi.nlm.nih.gov/gene/111","111")</f>
        <v>111</v>
      </c>
      <c r="B98" s="1" t="s">
        <v>275</v>
      </c>
      <c r="C98" t="s">
        <v>276</v>
      </c>
      <c r="D98">
        <v>129.6</v>
      </c>
      <c r="E98">
        <v>132.5</v>
      </c>
      <c r="F98">
        <v>95.1</v>
      </c>
      <c r="G98">
        <v>91.2</v>
      </c>
      <c r="H98">
        <v>124.2</v>
      </c>
      <c r="I98">
        <v>127.7</v>
      </c>
      <c r="J98">
        <v>99.2</v>
      </c>
      <c r="K98">
        <v>98</v>
      </c>
      <c r="L98" s="1" t="s">
        <v>275</v>
      </c>
      <c r="M98" t="s">
        <v>277</v>
      </c>
      <c r="N98">
        <v>4</v>
      </c>
    </row>
    <row r="99" spans="1:14" x14ac:dyDescent="0.25">
      <c r="A99" s="3" t="str">
        <f>HYPERLINK("http://www.ncbi.nlm.nih.gov/gene/112","112")</f>
        <v>112</v>
      </c>
      <c r="B99" s="1" t="s">
        <v>278</v>
      </c>
      <c r="C99" t="s">
        <v>279</v>
      </c>
      <c r="D99">
        <v>165</v>
      </c>
      <c r="E99">
        <v>167</v>
      </c>
      <c r="F99">
        <v>100</v>
      </c>
      <c r="G99">
        <v>100</v>
      </c>
      <c r="H99">
        <v>137</v>
      </c>
      <c r="I99">
        <v>139.5</v>
      </c>
      <c r="J99">
        <v>100</v>
      </c>
      <c r="K99">
        <v>100</v>
      </c>
      <c r="L99" s="1" t="s">
        <v>278</v>
      </c>
      <c r="M99" t="s">
        <v>280</v>
      </c>
      <c r="N99">
        <v>3</v>
      </c>
    </row>
    <row r="100" spans="1:14" x14ac:dyDescent="0.25">
      <c r="A100" s="3" t="str">
        <f>HYPERLINK("http://www.ncbi.nlm.nih.gov/gene/120","120")</f>
        <v>120</v>
      </c>
      <c r="B100" s="1" t="s">
        <v>281</v>
      </c>
      <c r="C100" t="s">
        <v>282</v>
      </c>
      <c r="D100">
        <v>170.8</v>
      </c>
      <c r="E100">
        <v>178.5</v>
      </c>
      <c r="F100">
        <v>99.9</v>
      </c>
      <c r="G100">
        <v>99.5</v>
      </c>
      <c r="H100">
        <v>134.80000000000001</v>
      </c>
      <c r="I100">
        <v>138.9</v>
      </c>
      <c r="J100">
        <v>100</v>
      </c>
      <c r="K100">
        <v>100</v>
      </c>
      <c r="L100" s="1" t="s">
        <v>281</v>
      </c>
      <c r="M100" t="s">
        <v>53</v>
      </c>
      <c r="N100">
        <v>2</v>
      </c>
    </row>
    <row r="101" spans="1:14" x14ac:dyDescent="0.25">
      <c r="A101" s="3" t="str">
        <f>HYPERLINK("http://www.ncbi.nlm.nih.gov/gene/30817","30817")</f>
        <v>30817</v>
      </c>
      <c r="B101" s="1" t="s">
        <v>283</v>
      </c>
      <c r="C101" t="s">
        <v>284</v>
      </c>
      <c r="D101">
        <v>150.69999999999999</v>
      </c>
      <c r="E101">
        <v>154.9</v>
      </c>
      <c r="F101">
        <v>96.8</v>
      </c>
      <c r="G101">
        <v>96.1</v>
      </c>
      <c r="H101">
        <v>149</v>
      </c>
      <c r="I101">
        <v>153.30000000000001</v>
      </c>
      <c r="J101">
        <v>99.1</v>
      </c>
      <c r="K101">
        <v>98.7</v>
      </c>
      <c r="L101" s="1" t="s">
        <v>283</v>
      </c>
      <c r="M101" t="s">
        <v>285</v>
      </c>
      <c r="N101">
        <v>1</v>
      </c>
    </row>
    <row r="102" spans="1:14" x14ac:dyDescent="0.25">
      <c r="A102" s="3" t="str">
        <f>HYPERLINK("http://www.ncbi.nlm.nih.gov/gene/9289","9289")</f>
        <v>9289</v>
      </c>
      <c r="B102" s="1" t="s">
        <v>286</v>
      </c>
      <c r="C102" t="s">
        <v>287</v>
      </c>
      <c r="D102">
        <v>159.19999999999999</v>
      </c>
      <c r="E102">
        <v>163.9</v>
      </c>
      <c r="F102">
        <v>100</v>
      </c>
      <c r="G102">
        <v>100</v>
      </c>
      <c r="H102">
        <v>158.9</v>
      </c>
      <c r="I102">
        <v>162.80000000000001</v>
      </c>
      <c r="J102">
        <v>100</v>
      </c>
      <c r="K102">
        <v>100</v>
      </c>
      <c r="L102" s="1" t="s">
        <v>286</v>
      </c>
      <c r="M102" t="s">
        <v>288</v>
      </c>
      <c r="N102">
        <v>4</v>
      </c>
    </row>
    <row r="103" spans="1:14" x14ac:dyDescent="0.25">
      <c r="A103" s="3" t="str">
        <f>HYPERLINK("http://www.ncbi.nlm.nih.gov/gene/10149","10149")</f>
        <v>10149</v>
      </c>
      <c r="B103" s="1" t="s">
        <v>289</v>
      </c>
      <c r="C103" t="s">
        <v>290</v>
      </c>
      <c r="D103">
        <v>92.9</v>
      </c>
      <c r="E103">
        <v>95.4</v>
      </c>
      <c r="F103">
        <v>98.3</v>
      </c>
      <c r="G103">
        <v>92.7</v>
      </c>
      <c r="H103">
        <v>127</v>
      </c>
      <c r="I103">
        <v>130.80000000000001</v>
      </c>
      <c r="J103">
        <v>100</v>
      </c>
      <c r="K103">
        <v>100</v>
      </c>
      <c r="L103" s="1" t="s">
        <v>289</v>
      </c>
      <c r="M103" t="s">
        <v>291</v>
      </c>
      <c r="N103">
        <v>1</v>
      </c>
    </row>
    <row r="104" spans="1:14" x14ac:dyDescent="0.25">
      <c r="A104" s="3" t="str">
        <f>HYPERLINK("http://www.ncbi.nlm.nih.gov/gene/57211","57211")</f>
        <v>57211</v>
      </c>
      <c r="B104" s="1" t="s">
        <v>292</v>
      </c>
      <c r="C104" t="s">
        <v>293</v>
      </c>
      <c r="D104">
        <v>154.6</v>
      </c>
      <c r="E104">
        <v>160.5</v>
      </c>
      <c r="F104">
        <v>99.9</v>
      </c>
      <c r="G104">
        <v>99</v>
      </c>
      <c r="H104">
        <v>129.4</v>
      </c>
      <c r="I104">
        <v>132.6</v>
      </c>
      <c r="J104">
        <v>100</v>
      </c>
      <c r="K104">
        <v>100</v>
      </c>
      <c r="L104" s="1" t="s">
        <v>292</v>
      </c>
      <c r="M104" t="s">
        <v>280</v>
      </c>
      <c r="N104">
        <v>3</v>
      </c>
    </row>
    <row r="105" spans="1:14" x14ac:dyDescent="0.25">
      <c r="A105" s="3" t="str">
        <f>HYPERLINK("http://www.ncbi.nlm.nih.gov/gene/84059","84059")</f>
        <v>84059</v>
      </c>
      <c r="B105" s="1" t="s">
        <v>294</v>
      </c>
      <c r="C105" t="s">
        <v>295</v>
      </c>
      <c r="D105">
        <v>150.6</v>
      </c>
      <c r="E105">
        <v>155</v>
      </c>
      <c r="F105">
        <v>99.6</v>
      </c>
      <c r="G105">
        <v>98.6</v>
      </c>
      <c r="H105">
        <v>133.1</v>
      </c>
      <c r="I105">
        <v>136.5</v>
      </c>
      <c r="J105">
        <v>100</v>
      </c>
      <c r="K105">
        <v>100</v>
      </c>
      <c r="L105" s="1" t="s">
        <v>294</v>
      </c>
      <c r="M105" t="s">
        <v>296</v>
      </c>
      <c r="N105">
        <v>4</v>
      </c>
    </row>
    <row r="106" spans="1:14" x14ac:dyDescent="0.25">
      <c r="A106" s="3" t="str">
        <f>HYPERLINK("http://www.ncbi.nlm.nih.gov/gene/9370","9370")</f>
        <v>9370</v>
      </c>
      <c r="B106" s="1" t="s">
        <v>297</v>
      </c>
      <c r="C106" t="s">
        <v>298</v>
      </c>
      <c r="D106">
        <v>148.80000000000001</v>
      </c>
      <c r="E106">
        <v>139.5</v>
      </c>
      <c r="F106">
        <v>100</v>
      </c>
      <c r="G106">
        <v>100</v>
      </c>
      <c r="H106">
        <v>149.80000000000001</v>
      </c>
      <c r="I106">
        <v>155</v>
      </c>
      <c r="J106">
        <v>100</v>
      </c>
      <c r="K106">
        <v>100</v>
      </c>
      <c r="L106" s="1" t="s">
        <v>297</v>
      </c>
      <c r="M106" t="s">
        <v>299</v>
      </c>
      <c r="N106">
        <v>2</v>
      </c>
    </row>
    <row r="107" spans="1:14" x14ac:dyDescent="0.25">
      <c r="A107" s="3" t="str">
        <f>HYPERLINK("http://www.ncbi.nlm.nih.gov/gene/51094","51094")</f>
        <v>51094</v>
      </c>
      <c r="B107" s="1" t="s">
        <v>300</v>
      </c>
      <c r="C107" t="s">
        <v>301</v>
      </c>
      <c r="D107">
        <v>106.5</v>
      </c>
      <c r="E107">
        <v>111.9</v>
      </c>
      <c r="F107">
        <v>99.9</v>
      </c>
      <c r="G107">
        <v>97.8</v>
      </c>
      <c r="H107">
        <v>132.9</v>
      </c>
      <c r="I107">
        <v>137.1</v>
      </c>
      <c r="J107">
        <v>100</v>
      </c>
      <c r="K107">
        <v>100</v>
      </c>
      <c r="L107" s="1" t="s">
        <v>300</v>
      </c>
      <c r="M107" t="s">
        <v>302</v>
      </c>
      <c r="N107">
        <v>2</v>
      </c>
    </row>
    <row r="108" spans="1:14" x14ac:dyDescent="0.25">
      <c r="A108" s="3" t="str">
        <f>HYPERLINK("http://www.ncbi.nlm.nih.gov/gene/132","132")</f>
        <v>132</v>
      </c>
      <c r="B108" s="1" t="s">
        <v>303</v>
      </c>
      <c r="C108" t="s">
        <v>304</v>
      </c>
      <c r="D108">
        <v>93.4</v>
      </c>
      <c r="E108">
        <v>96.9</v>
      </c>
      <c r="F108">
        <v>84.1</v>
      </c>
      <c r="G108">
        <v>81</v>
      </c>
      <c r="H108">
        <v>96.1</v>
      </c>
      <c r="I108">
        <v>98.4</v>
      </c>
      <c r="J108">
        <v>84.5</v>
      </c>
      <c r="K108">
        <v>84.5</v>
      </c>
      <c r="L108" s="1" t="s">
        <v>303</v>
      </c>
      <c r="M108" t="s">
        <v>305</v>
      </c>
      <c r="N108">
        <v>5</v>
      </c>
    </row>
    <row r="109" spans="1:14" x14ac:dyDescent="0.25">
      <c r="A109" s="3" t="str">
        <f>HYPERLINK("http://www.ncbi.nlm.nih.gov/gene/23394","23394")</f>
        <v>23394</v>
      </c>
      <c r="B109" s="1" t="s">
        <v>306</v>
      </c>
      <c r="C109" t="s">
        <v>307</v>
      </c>
      <c r="D109">
        <v>238.4</v>
      </c>
      <c r="E109">
        <v>229.2</v>
      </c>
      <c r="F109">
        <v>90.5</v>
      </c>
      <c r="G109">
        <v>90.5</v>
      </c>
      <c r="H109">
        <v>138.80000000000001</v>
      </c>
      <c r="I109">
        <v>139.6</v>
      </c>
      <c r="J109">
        <v>95.4</v>
      </c>
      <c r="K109">
        <v>95.4</v>
      </c>
      <c r="L109" s="1" t="s">
        <v>306</v>
      </c>
      <c r="M109" t="s">
        <v>189</v>
      </c>
      <c r="N109">
        <v>2</v>
      </c>
    </row>
    <row r="110" spans="1:14" x14ac:dyDescent="0.25">
      <c r="A110" s="3" t="str">
        <f>HYPERLINK("http://www.ncbi.nlm.nih.gov/gene/54936","54936")</f>
        <v>54936</v>
      </c>
      <c r="B110" s="1" t="s">
        <v>308</v>
      </c>
      <c r="C110" t="s">
        <v>309</v>
      </c>
      <c r="D110">
        <v>150.19999999999999</v>
      </c>
      <c r="E110">
        <v>159</v>
      </c>
      <c r="F110">
        <v>100</v>
      </c>
      <c r="G110">
        <v>99.8</v>
      </c>
      <c r="H110">
        <v>127.1</v>
      </c>
      <c r="I110">
        <v>131.19999999999999</v>
      </c>
      <c r="J110">
        <v>100</v>
      </c>
      <c r="K110">
        <v>100</v>
      </c>
      <c r="L110" s="1" t="s">
        <v>308</v>
      </c>
      <c r="M110" t="s">
        <v>310</v>
      </c>
      <c r="N110">
        <v>6</v>
      </c>
    </row>
    <row r="111" spans="1:14" x14ac:dyDescent="0.25">
      <c r="A111" s="3" t="str">
        <f>HYPERLINK("http://www.ncbi.nlm.nih.gov/gene/154","154")</f>
        <v>154</v>
      </c>
      <c r="B111" s="1" t="s">
        <v>311</v>
      </c>
      <c r="C111" t="s">
        <v>312</v>
      </c>
      <c r="D111">
        <v>135.30000000000001</v>
      </c>
      <c r="E111">
        <v>116.1</v>
      </c>
      <c r="F111">
        <v>100</v>
      </c>
      <c r="G111">
        <v>99.7</v>
      </c>
      <c r="H111">
        <v>169.5</v>
      </c>
      <c r="I111">
        <v>169.5</v>
      </c>
      <c r="J111">
        <v>100</v>
      </c>
      <c r="K111">
        <v>100</v>
      </c>
      <c r="L111" s="1" t="s">
        <v>311</v>
      </c>
      <c r="M111" t="s">
        <v>22</v>
      </c>
      <c r="N111">
        <v>1</v>
      </c>
    </row>
    <row r="112" spans="1:14" x14ac:dyDescent="0.25">
      <c r="A112" s="3" t="str">
        <f>HYPERLINK("http://www.ncbi.nlm.nih.gov/gene/158","158")</f>
        <v>158</v>
      </c>
      <c r="B112" s="1" t="s">
        <v>313</v>
      </c>
      <c r="C112" t="s">
        <v>314</v>
      </c>
      <c r="D112">
        <v>146.9</v>
      </c>
      <c r="E112">
        <v>150.19999999999999</v>
      </c>
      <c r="F112">
        <v>99.2</v>
      </c>
      <c r="G112">
        <v>98.7</v>
      </c>
      <c r="H112">
        <v>130</v>
      </c>
      <c r="I112">
        <v>133.1</v>
      </c>
      <c r="J112">
        <v>100</v>
      </c>
      <c r="K112">
        <v>100</v>
      </c>
      <c r="L112" s="1" t="s">
        <v>313</v>
      </c>
      <c r="M112" t="s">
        <v>214</v>
      </c>
      <c r="N112">
        <v>5</v>
      </c>
    </row>
    <row r="113" spans="1:14" x14ac:dyDescent="0.25">
      <c r="A113" s="3" t="str">
        <f>HYPERLINK("http://www.ncbi.nlm.nih.gov/gene/122622","122622")</f>
        <v>122622</v>
      </c>
      <c r="B113" s="1" t="s">
        <v>315</v>
      </c>
      <c r="C113" t="s">
        <v>316</v>
      </c>
      <c r="D113">
        <v>119.3</v>
      </c>
      <c r="E113">
        <v>122.3</v>
      </c>
      <c r="F113">
        <v>90.2</v>
      </c>
      <c r="G113">
        <v>87.5</v>
      </c>
      <c r="H113">
        <v>145.30000000000001</v>
      </c>
      <c r="I113">
        <v>149</v>
      </c>
      <c r="J113">
        <v>100</v>
      </c>
      <c r="K113">
        <v>100</v>
      </c>
      <c r="L113" s="1" t="s">
        <v>315</v>
      </c>
      <c r="M113" t="s">
        <v>53</v>
      </c>
      <c r="N113">
        <v>2</v>
      </c>
    </row>
    <row r="114" spans="1:14" x14ac:dyDescent="0.25">
      <c r="A114" s="3" t="str">
        <f>HYPERLINK("http://www.ncbi.nlm.nih.gov/gene/165","165")</f>
        <v>165</v>
      </c>
      <c r="B114" s="1" t="s">
        <v>317</v>
      </c>
      <c r="C114" t="s">
        <v>318</v>
      </c>
      <c r="D114">
        <v>168.1</v>
      </c>
      <c r="E114">
        <v>159.5</v>
      </c>
      <c r="F114">
        <v>100</v>
      </c>
      <c r="G114">
        <v>100</v>
      </c>
      <c r="H114">
        <v>144.5</v>
      </c>
      <c r="I114">
        <v>148.69999999999999</v>
      </c>
      <c r="J114">
        <v>100</v>
      </c>
      <c r="K114">
        <v>100</v>
      </c>
      <c r="L114" s="1" t="s">
        <v>317</v>
      </c>
      <c r="M114" t="s">
        <v>319</v>
      </c>
      <c r="N114">
        <v>2</v>
      </c>
    </row>
    <row r="115" spans="1:14" x14ac:dyDescent="0.25">
      <c r="A115" s="3" t="str">
        <f>HYPERLINK("http://www.ncbi.nlm.nih.gov/gene/2334","2334")</f>
        <v>2334</v>
      </c>
      <c r="B115" s="1" t="s">
        <v>320</v>
      </c>
      <c r="C115" t="s">
        <v>321</v>
      </c>
      <c r="D115">
        <v>136.80000000000001</v>
      </c>
      <c r="E115">
        <v>133.9</v>
      </c>
      <c r="F115">
        <v>99.9</v>
      </c>
      <c r="G115">
        <v>99.4</v>
      </c>
      <c r="H115">
        <v>137.80000000000001</v>
      </c>
      <c r="I115">
        <v>140.19999999999999</v>
      </c>
      <c r="J115">
        <v>100</v>
      </c>
      <c r="K115">
        <v>99.8</v>
      </c>
      <c r="L115" s="1" t="s">
        <v>320</v>
      </c>
      <c r="M115" t="s">
        <v>322</v>
      </c>
      <c r="N115">
        <v>2</v>
      </c>
    </row>
    <row r="116" spans="1:14" x14ac:dyDescent="0.25">
      <c r="A116" s="3" t="str">
        <f>HYPERLINK("http://www.ncbi.nlm.nih.gov/gene/27125","27125")</f>
        <v>27125</v>
      </c>
      <c r="B116" s="1" t="s">
        <v>323</v>
      </c>
      <c r="C116" t="s">
        <v>324</v>
      </c>
      <c r="D116">
        <v>123.5</v>
      </c>
      <c r="E116">
        <v>118.6</v>
      </c>
      <c r="F116">
        <v>99.9</v>
      </c>
      <c r="G116">
        <v>98.9</v>
      </c>
      <c r="H116">
        <v>135.69999999999999</v>
      </c>
      <c r="I116">
        <v>137.4</v>
      </c>
      <c r="J116">
        <v>100</v>
      </c>
      <c r="K116">
        <v>100</v>
      </c>
      <c r="L116" s="1" t="s">
        <v>323</v>
      </c>
      <c r="M116" t="s">
        <v>189</v>
      </c>
      <c r="N116">
        <v>2</v>
      </c>
    </row>
    <row r="117" spans="1:14" x14ac:dyDescent="0.25">
      <c r="A117" s="3" t="str">
        <f>HYPERLINK("http://www.ncbi.nlm.nih.gov/gene/10939","10939")</f>
        <v>10939</v>
      </c>
      <c r="B117" s="1" t="s">
        <v>325</v>
      </c>
      <c r="C117" t="s">
        <v>326</v>
      </c>
      <c r="D117">
        <v>111.4</v>
      </c>
      <c r="E117">
        <v>115.3</v>
      </c>
      <c r="F117">
        <v>95</v>
      </c>
      <c r="G117">
        <v>91.1</v>
      </c>
      <c r="H117">
        <v>135.4</v>
      </c>
      <c r="I117">
        <v>139.69999999999999</v>
      </c>
      <c r="J117">
        <v>100</v>
      </c>
      <c r="K117">
        <v>99.9</v>
      </c>
      <c r="L117" s="1" t="s">
        <v>325</v>
      </c>
      <c r="M117" t="s">
        <v>327</v>
      </c>
      <c r="N117">
        <v>7</v>
      </c>
    </row>
    <row r="118" spans="1:14" x14ac:dyDescent="0.25">
      <c r="A118" s="3" t="str">
        <f>HYPERLINK("http://www.ncbi.nlm.nih.gov/gene/174","174")</f>
        <v>174</v>
      </c>
      <c r="B118" s="1" t="s">
        <v>328</v>
      </c>
      <c r="C118" t="s">
        <v>329</v>
      </c>
      <c r="D118">
        <v>117.2</v>
      </c>
      <c r="E118">
        <v>121.6</v>
      </c>
      <c r="F118">
        <v>96.9</v>
      </c>
      <c r="G118">
        <v>89.8</v>
      </c>
      <c r="H118">
        <v>118.8</v>
      </c>
      <c r="I118">
        <v>122.6</v>
      </c>
      <c r="J118">
        <v>100</v>
      </c>
      <c r="K118">
        <v>100</v>
      </c>
      <c r="L118" s="1" t="s">
        <v>328</v>
      </c>
      <c r="M118" t="s">
        <v>59</v>
      </c>
      <c r="N118">
        <v>1</v>
      </c>
    </row>
    <row r="119" spans="1:14" x14ac:dyDescent="0.25">
      <c r="A119" s="3" t="str">
        <f>HYPERLINK("http://www.ncbi.nlm.nih.gov/gene/175","175")</f>
        <v>175</v>
      </c>
      <c r="B119" s="1" t="s">
        <v>330</v>
      </c>
      <c r="C119" t="s">
        <v>331</v>
      </c>
      <c r="D119">
        <v>186.7</v>
      </c>
      <c r="E119">
        <v>191.3</v>
      </c>
      <c r="F119">
        <v>100</v>
      </c>
      <c r="G119">
        <v>100</v>
      </c>
      <c r="H119">
        <v>143.19999999999999</v>
      </c>
      <c r="I119">
        <v>146.5</v>
      </c>
      <c r="J119">
        <v>100</v>
      </c>
      <c r="K119">
        <v>100</v>
      </c>
      <c r="L119" s="1" t="s">
        <v>330</v>
      </c>
      <c r="M119" t="s">
        <v>332</v>
      </c>
      <c r="N119">
        <v>9</v>
      </c>
    </row>
    <row r="120" spans="1:14" x14ac:dyDescent="0.25">
      <c r="A120" s="3" t="str">
        <f>HYPERLINK("http://www.ncbi.nlm.nih.gov/gene/123624","123624")</f>
        <v>123624</v>
      </c>
      <c r="B120" s="1" t="s">
        <v>333</v>
      </c>
      <c r="C120" t="s">
        <v>334</v>
      </c>
      <c r="D120">
        <v>118.3</v>
      </c>
      <c r="E120">
        <v>121.5</v>
      </c>
      <c r="F120">
        <v>98.5</v>
      </c>
      <c r="G120">
        <v>98.4</v>
      </c>
      <c r="H120">
        <v>142.80000000000001</v>
      </c>
      <c r="I120">
        <v>145.80000000000001</v>
      </c>
      <c r="J120">
        <v>100</v>
      </c>
      <c r="K120">
        <v>100</v>
      </c>
      <c r="L120" s="1" t="s">
        <v>333</v>
      </c>
      <c r="M120" t="s">
        <v>302</v>
      </c>
      <c r="N120">
        <v>2</v>
      </c>
    </row>
    <row r="121" spans="1:14" x14ac:dyDescent="0.25">
      <c r="A121" s="3" t="str">
        <f>HYPERLINK("http://www.ncbi.nlm.nih.gov/gene/60509","60509")</f>
        <v>60509</v>
      </c>
      <c r="B121" s="1" t="s">
        <v>335</v>
      </c>
      <c r="C121" t="s">
        <v>336</v>
      </c>
      <c r="D121">
        <v>119</v>
      </c>
      <c r="E121">
        <v>124.5</v>
      </c>
      <c r="F121">
        <v>99.9</v>
      </c>
      <c r="G121">
        <v>99.3</v>
      </c>
      <c r="H121">
        <v>150.5</v>
      </c>
      <c r="I121">
        <v>155.19999999999999</v>
      </c>
      <c r="J121">
        <v>100</v>
      </c>
      <c r="K121">
        <v>100</v>
      </c>
      <c r="L121" s="1" t="s">
        <v>335</v>
      </c>
      <c r="M121" t="s">
        <v>56</v>
      </c>
      <c r="N121">
        <v>3</v>
      </c>
    </row>
    <row r="122" spans="1:14" x14ac:dyDescent="0.25">
      <c r="A122" s="3" t="str">
        <f>HYPERLINK("http://www.ncbi.nlm.nih.gov/gene/55750","55750")</f>
        <v>55750</v>
      </c>
      <c r="B122" s="1" t="s">
        <v>337</v>
      </c>
      <c r="C122" t="s">
        <v>338</v>
      </c>
      <c r="D122">
        <v>121.3</v>
      </c>
      <c r="E122">
        <v>123.5</v>
      </c>
      <c r="F122">
        <v>90.6</v>
      </c>
      <c r="G122">
        <v>88.6</v>
      </c>
      <c r="H122">
        <v>130.1</v>
      </c>
      <c r="I122">
        <v>132.30000000000001</v>
      </c>
      <c r="J122">
        <v>91.2</v>
      </c>
      <c r="K122">
        <v>91.2</v>
      </c>
      <c r="L122" s="1" t="s">
        <v>337</v>
      </c>
      <c r="M122" t="s">
        <v>339</v>
      </c>
      <c r="N122">
        <v>6</v>
      </c>
    </row>
    <row r="123" spans="1:14" x14ac:dyDescent="0.25">
      <c r="A123" s="3" t="str">
        <f>HYPERLINK("http://www.ncbi.nlm.nih.gov/gene/178","178")</f>
        <v>178</v>
      </c>
      <c r="B123" s="1" t="s">
        <v>340</v>
      </c>
      <c r="C123" t="s">
        <v>341</v>
      </c>
      <c r="D123">
        <v>172.9</v>
      </c>
      <c r="E123">
        <v>180.5</v>
      </c>
      <c r="F123">
        <v>100</v>
      </c>
      <c r="G123">
        <v>99.4</v>
      </c>
      <c r="H123">
        <v>132.30000000000001</v>
      </c>
      <c r="I123">
        <v>136.5</v>
      </c>
      <c r="J123">
        <v>100</v>
      </c>
      <c r="K123">
        <v>100</v>
      </c>
      <c r="L123" s="1" t="s">
        <v>340</v>
      </c>
      <c r="M123" t="s">
        <v>131</v>
      </c>
      <c r="N123">
        <v>5</v>
      </c>
    </row>
    <row r="124" spans="1:14" x14ac:dyDescent="0.25">
      <c r="A124" s="3" t="str">
        <f>HYPERLINK("http://www.ncbi.nlm.nih.gov/gene/392636","392636")</f>
        <v>392636</v>
      </c>
      <c r="B124" s="1" t="s">
        <v>342</v>
      </c>
      <c r="C124" t="s">
        <v>343</v>
      </c>
      <c r="D124">
        <v>129.9</v>
      </c>
      <c r="E124">
        <v>133</v>
      </c>
      <c r="F124">
        <v>99.2</v>
      </c>
      <c r="G124">
        <v>96</v>
      </c>
      <c r="H124">
        <v>125</v>
      </c>
      <c r="I124">
        <v>127.7</v>
      </c>
      <c r="J124">
        <v>100</v>
      </c>
      <c r="K124">
        <v>100</v>
      </c>
      <c r="L124" s="1" t="s">
        <v>342</v>
      </c>
      <c r="M124" t="s">
        <v>50</v>
      </c>
      <c r="N124">
        <v>2</v>
      </c>
    </row>
    <row r="125" spans="1:14" x14ac:dyDescent="0.25">
      <c r="A125" s="3" t="str">
        <f>HYPERLINK("http://www.ncbi.nlm.nih.gov/gene/27161","27161")</f>
        <v>27161</v>
      </c>
      <c r="B125" s="1" t="s">
        <v>344</v>
      </c>
      <c r="C125" t="s">
        <v>345</v>
      </c>
      <c r="D125">
        <v>128.6</v>
      </c>
      <c r="E125">
        <v>135.69999999999999</v>
      </c>
      <c r="F125">
        <v>99.1</v>
      </c>
      <c r="G125">
        <v>99.1</v>
      </c>
      <c r="H125">
        <v>135.69999999999999</v>
      </c>
      <c r="I125">
        <v>140.30000000000001</v>
      </c>
      <c r="J125">
        <v>99.9</v>
      </c>
      <c r="K125">
        <v>99.5</v>
      </c>
      <c r="L125" s="1" t="s">
        <v>344</v>
      </c>
      <c r="M125" t="s">
        <v>189</v>
      </c>
      <c r="N125">
        <v>2</v>
      </c>
    </row>
    <row r="126" spans="1:14" x14ac:dyDescent="0.25">
      <c r="A126" s="3" t="str">
        <f>HYPERLINK("http://www.ncbi.nlm.nih.gov/gene/10555","10555")</f>
        <v>10555</v>
      </c>
      <c r="B126" s="1" t="s">
        <v>346</v>
      </c>
      <c r="C126" t="s">
        <v>347</v>
      </c>
      <c r="D126">
        <v>141.80000000000001</v>
      </c>
      <c r="E126">
        <v>146.1</v>
      </c>
      <c r="F126">
        <v>99.6</v>
      </c>
      <c r="G126">
        <v>96.1</v>
      </c>
      <c r="H126">
        <v>111.2</v>
      </c>
      <c r="I126">
        <v>114</v>
      </c>
      <c r="J126">
        <v>100</v>
      </c>
      <c r="K126">
        <v>100</v>
      </c>
      <c r="L126" s="1" t="s">
        <v>346</v>
      </c>
      <c r="M126" t="s">
        <v>348</v>
      </c>
      <c r="N126">
        <v>5</v>
      </c>
    </row>
    <row r="127" spans="1:14" x14ac:dyDescent="0.25">
      <c r="A127" s="3" t="str">
        <f>HYPERLINK("http://www.ncbi.nlm.nih.gov/gene/8540","8540")</f>
        <v>8540</v>
      </c>
      <c r="B127" s="1" t="s">
        <v>349</v>
      </c>
      <c r="C127" t="s">
        <v>350</v>
      </c>
      <c r="D127">
        <v>82.3</v>
      </c>
      <c r="E127">
        <v>82.8</v>
      </c>
      <c r="F127">
        <v>99.3</v>
      </c>
      <c r="G127">
        <v>95.4</v>
      </c>
      <c r="H127">
        <v>113.2</v>
      </c>
      <c r="I127">
        <v>115.6</v>
      </c>
      <c r="J127">
        <v>100</v>
      </c>
      <c r="K127">
        <v>99.9</v>
      </c>
      <c r="L127" s="1" t="s">
        <v>349</v>
      </c>
      <c r="M127" t="s">
        <v>351</v>
      </c>
      <c r="N127">
        <v>4</v>
      </c>
    </row>
    <row r="128" spans="1:14" x14ac:dyDescent="0.25">
      <c r="A128" s="3" t="str">
        <f>HYPERLINK("http://www.ncbi.nlm.nih.gov/gene/375790","375790")</f>
        <v>375790</v>
      </c>
      <c r="B128" s="1" t="s">
        <v>352</v>
      </c>
      <c r="C128" t="s">
        <v>353</v>
      </c>
      <c r="D128">
        <v>137.6</v>
      </c>
      <c r="E128">
        <v>139.69999999999999</v>
      </c>
      <c r="F128">
        <v>96.9</v>
      </c>
      <c r="G128">
        <v>92.6</v>
      </c>
      <c r="H128">
        <v>142.6</v>
      </c>
      <c r="I128">
        <v>146.30000000000001</v>
      </c>
      <c r="J128">
        <v>100</v>
      </c>
      <c r="K128">
        <v>99.9</v>
      </c>
      <c r="L128" s="1" t="s">
        <v>352</v>
      </c>
      <c r="M128" t="s">
        <v>354</v>
      </c>
      <c r="N128">
        <v>4</v>
      </c>
    </row>
    <row r="129" spans="1:14" x14ac:dyDescent="0.25">
      <c r="A129" s="3" t="str">
        <f>HYPERLINK("http://www.ncbi.nlm.nih.gov/gene/183","183")</f>
        <v>183</v>
      </c>
      <c r="B129" s="1" t="s">
        <v>355</v>
      </c>
      <c r="C129" t="s">
        <v>356</v>
      </c>
      <c r="D129">
        <v>199.8</v>
      </c>
      <c r="E129">
        <v>208.7</v>
      </c>
      <c r="F129">
        <v>100</v>
      </c>
      <c r="G129">
        <v>100</v>
      </c>
      <c r="H129">
        <v>153.19999999999999</v>
      </c>
      <c r="I129">
        <v>156.6</v>
      </c>
      <c r="J129">
        <v>100</v>
      </c>
      <c r="K129">
        <v>100</v>
      </c>
      <c r="L129" s="1" t="s">
        <v>355</v>
      </c>
      <c r="M129" t="s">
        <v>357</v>
      </c>
      <c r="N129">
        <v>3</v>
      </c>
    </row>
    <row r="130" spans="1:14" x14ac:dyDescent="0.25">
      <c r="A130" s="3" t="str">
        <f>HYPERLINK("http://www.ncbi.nlm.nih.gov/gene/23287","23287")</f>
        <v>23287</v>
      </c>
      <c r="B130" s="1" t="s">
        <v>358</v>
      </c>
      <c r="C130" t="s">
        <v>359</v>
      </c>
      <c r="D130">
        <v>139.30000000000001</v>
      </c>
      <c r="E130">
        <v>144.19999999999999</v>
      </c>
      <c r="F130">
        <v>96</v>
      </c>
      <c r="G130">
        <v>94.1</v>
      </c>
      <c r="H130">
        <v>128.1</v>
      </c>
      <c r="I130">
        <v>130.9</v>
      </c>
      <c r="J130">
        <v>100</v>
      </c>
      <c r="K130">
        <v>100</v>
      </c>
      <c r="L130" s="1" t="s">
        <v>358</v>
      </c>
      <c r="M130" t="s">
        <v>360</v>
      </c>
      <c r="N130">
        <v>5</v>
      </c>
    </row>
    <row r="131" spans="1:14" x14ac:dyDescent="0.25">
      <c r="A131" s="3" t="str">
        <f>HYPERLINK("http://www.ncbi.nlm.nih.gov/gene/185","185")</f>
        <v>185</v>
      </c>
      <c r="B131" s="1" t="s">
        <v>361</v>
      </c>
      <c r="C131" t="s">
        <v>362</v>
      </c>
      <c r="D131">
        <v>171.3</v>
      </c>
      <c r="E131">
        <v>192.6</v>
      </c>
      <c r="F131">
        <v>92</v>
      </c>
      <c r="G131">
        <v>91.8</v>
      </c>
      <c r="H131">
        <v>142.5</v>
      </c>
      <c r="I131">
        <v>141.4</v>
      </c>
      <c r="J131">
        <v>100</v>
      </c>
      <c r="K131">
        <v>100</v>
      </c>
      <c r="L131" s="1" t="s">
        <v>361</v>
      </c>
      <c r="M131" t="s">
        <v>146</v>
      </c>
      <c r="N131">
        <v>4</v>
      </c>
    </row>
    <row r="132" spans="1:14" x14ac:dyDescent="0.25">
      <c r="A132" s="3" t="str">
        <f>HYPERLINK("http://www.ncbi.nlm.nih.gov/gene/189","189")</f>
        <v>189</v>
      </c>
      <c r="B132" s="1" t="s">
        <v>363</v>
      </c>
      <c r="C132" t="s">
        <v>364</v>
      </c>
      <c r="D132">
        <v>149</v>
      </c>
      <c r="E132">
        <v>150.4</v>
      </c>
      <c r="F132">
        <v>100</v>
      </c>
      <c r="G132">
        <v>100</v>
      </c>
      <c r="H132">
        <v>138.6</v>
      </c>
      <c r="I132">
        <v>142</v>
      </c>
      <c r="J132">
        <v>100</v>
      </c>
      <c r="K132">
        <v>100</v>
      </c>
      <c r="L132" s="1" t="s">
        <v>363</v>
      </c>
      <c r="M132" t="s">
        <v>365</v>
      </c>
      <c r="N132">
        <v>4</v>
      </c>
    </row>
    <row r="133" spans="1:14" x14ac:dyDescent="0.25">
      <c r="A133" s="3" t="str">
        <f>HYPERLINK("http://www.ncbi.nlm.nih.gov/gene/191","191")</f>
        <v>191</v>
      </c>
      <c r="B133" s="1" t="s">
        <v>366</v>
      </c>
      <c r="C133" t="s">
        <v>367</v>
      </c>
      <c r="D133">
        <v>119.6</v>
      </c>
      <c r="E133">
        <v>117.4</v>
      </c>
      <c r="F133">
        <v>100</v>
      </c>
      <c r="G133">
        <v>99.2</v>
      </c>
      <c r="H133">
        <v>147.80000000000001</v>
      </c>
      <c r="I133">
        <v>151.80000000000001</v>
      </c>
      <c r="J133">
        <v>100</v>
      </c>
      <c r="K133">
        <v>100</v>
      </c>
      <c r="L133" s="1" t="s">
        <v>366</v>
      </c>
      <c r="M133" t="s">
        <v>305</v>
      </c>
      <c r="N133">
        <v>5</v>
      </c>
    </row>
    <row r="134" spans="1:14" x14ac:dyDescent="0.25">
      <c r="A134" s="3" t="str">
        <f>HYPERLINK("http://www.ncbi.nlm.nih.gov/gene/27245","27245")</f>
        <v>27245</v>
      </c>
      <c r="B134" s="1" t="s">
        <v>368</v>
      </c>
      <c r="C134" t="s">
        <v>369</v>
      </c>
      <c r="D134">
        <v>136.5</v>
      </c>
      <c r="E134">
        <v>121.3</v>
      </c>
      <c r="F134">
        <v>100</v>
      </c>
      <c r="G134">
        <v>99.3</v>
      </c>
      <c r="H134">
        <v>148.80000000000001</v>
      </c>
      <c r="I134">
        <v>148</v>
      </c>
      <c r="J134">
        <v>100</v>
      </c>
      <c r="K134">
        <v>100</v>
      </c>
      <c r="L134" s="1" t="s">
        <v>368</v>
      </c>
      <c r="M134" t="s">
        <v>189</v>
      </c>
      <c r="N134">
        <v>2</v>
      </c>
    </row>
    <row r="135" spans="1:14" x14ac:dyDescent="0.25">
      <c r="A135" s="3" t="str">
        <f>HYPERLINK("http://www.ncbi.nlm.nih.gov/gene/54806","54806")</f>
        <v>54806</v>
      </c>
      <c r="B135" s="1" t="s">
        <v>370</v>
      </c>
      <c r="C135" t="s">
        <v>371</v>
      </c>
      <c r="D135">
        <v>149</v>
      </c>
      <c r="E135">
        <v>154.30000000000001</v>
      </c>
      <c r="F135">
        <v>99.7</v>
      </c>
      <c r="G135">
        <v>97.9</v>
      </c>
      <c r="H135">
        <v>129.6</v>
      </c>
      <c r="I135">
        <v>133.6</v>
      </c>
      <c r="J135">
        <v>100</v>
      </c>
      <c r="K135">
        <v>100</v>
      </c>
      <c r="L135" s="1" t="s">
        <v>370</v>
      </c>
      <c r="M135" t="s">
        <v>372</v>
      </c>
      <c r="N135">
        <v>6</v>
      </c>
    </row>
    <row r="136" spans="1:14" x14ac:dyDescent="0.25">
      <c r="A136" s="3" t="str">
        <f>HYPERLINK("http://www.ncbi.nlm.nih.gov/gene/196","196")</f>
        <v>196</v>
      </c>
      <c r="B136" s="1" t="s">
        <v>373</v>
      </c>
      <c r="C136" t="s">
        <v>374</v>
      </c>
      <c r="D136">
        <v>192.3</v>
      </c>
      <c r="E136">
        <v>203.8</v>
      </c>
      <c r="F136">
        <v>99.2</v>
      </c>
      <c r="G136">
        <v>98.8</v>
      </c>
      <c r="H136">
        <v>127.2</v>
      </c>
      <c r="I136">
        <v>129.9</v>
      </c>
      <c r="J136">
        <v>100</v>
      </c>
      <c r="K136">
        <v>100</v>
      </c>
      <c r="L136" s="1" t="s">
        <v>373</v>
      </c>
      <c r="M136" t="s">
        <v>56</v>
      </c>
      <c r="N136">
        <v>3</v>
      </c>
    </row>
    <row r="137" spans="1:14" x14ac:dyDescent="0.25">
      <c r="A137" s="3" t="str">
        <f>HYPERLINK("http://www.ncbi.nlm.nih.gov/gene/197","197")</f>
        <v>197</v>
      </c>
      <c r="B137" s="1" t="s">
        <v>375</v>
      </c>
      <c r="C137" t="s">
        <v>376</v>
      </c>
      <c r="D137">
        <v>182.1</v>
      </c>
      <c r="E137">
        <v>186.5</v>
      </c>
      <c r="F137">
        <v>99.9</v>
      </c>
      <c r="G137">
        <v>99.5</v>
      </c>
      <c r="H137">
        <v>151.9</v>
      </c>
      <c r="I137">
        <v>154.69999999999999</v>
      </c>
      <c r="J137">
        <v>100</v>
      </c>
      <c r="K137">
        <v>100</v>
      </c>
      <c r="L137" s="1" t="s">
        <v>375</v>
      </c>
      <c r="M137" t="s">
        <v>228</v>
      </c>
      <c r="N137">
        <v>3</v>
      </c>
    </row>
    <row r="138" spans="1:14" x14ac:dyDescent="0.25">
      <c r="A138" s="3" t="str">
        <f>HYPERLINK("http://www.ncbi.nlm.nih.gov/gene/57379","57379")</f>
        <v>57379</v>
      </c>
      <c r="B138" s="1" t="s">
        <v>377</v>
      </c>
      <c r="C138" t="s">
        <v>378</v>
      </c>
      <c r="D138">
        <v>139</v>
      </c>
      <c r="E138">
        <v>148.6</v>
      </c>
      <c r="F138">
        <v>100</v>
      </c>
      <c r="G138">
        <v>100</v>
      </c>
      <c r="H138">
        <v>136</v>
      </c>
      <c r="I138">
        <v>141</v>
      </c>
      <c r="J138">
        <v>100</v>
      </c>
      <c r="K138">
        <v>100</v>
      </c>
      <c r="L138" s="1" t="s">
        <v>377</v>
      </c>
      <c r="M138" t="s">
        <v>379</v>
      </c>
      <c r="N138">
        <v>3</v>
      </c>
    </row>
    <row r="139" spans="1:14" x14ac:dyDescent="0.25">
      <c r="A139" s="3" t="str">
        <f>HYPERLINK("http://www.ncbi.nlm.nih.gov/gene/9131","9131")</f>
        <v>9131</v>
      </c>
      <c r="B139" s="1" t="s">
        <v>380</v>
      </c>
      <c r="C139" t="s">
        <v>381</v>
      </c>
      <c r="D139">
        <v>115.3</v>
      </c>
      <c r="E139">
        <v>117.3</v>
      </c>
      <c r="F139">
        <v>99.9</v>
      </c>
      <c r="G139">
        <v>98.8</v>
      </c>
      <c r="H139">
        <v>123.6</v>
      </c>
      <c r="I139">
        <v>126.6</v>
      </c>
      <c r="J139">
        <v>100</v>
      </c>
      <c r="K139">
        <v>100</v>
      </c>
      <c r="L139" s="1" t="s">
        <v>380</v>
      </c>
      <c r="M139" t="s">
        <v>382</v>
      </c>
      <c r="N139">
        <v>6</v>
      </c>
    </row>
    <row r="140" spans="1:14" x14ac:dyDescent="0.25">
      <c r="A140" s="3" t="str">
        <f>HYPERLINK("http://www.ncbi.nlm.nih.gov/gene/9255","9255")</f>
        <v>9255</v>
      </c>
      <c r="B140" s="1" t="s">
        <v>383</v>
      </c>
      <c r="C140" t="s">
        <v>384</v>
      </c>
      <c r="D140">
        <v>88.6</v>
      </c>
      <c r="E140">
        <v>92</v>
      </c>
      <c r="F140">
        <v>99.2</v>
      </c>
      <c r="G140">
        <v>94.5</v>
      </c>
      <c r="H140">
        <v>130.6</v>
      </c>
      <c r="I140">
        <v>134.9</v>
      </c>
      <c r="J140">
        <v>100</v>
      </c>
      <c r="K140">
        <v>99.9</v>
      </c>
      <c r="L140" s="1" t="s">
        <v>383</v>
      </c>
      <c r="M140" t="s">
        <v>288</v>
      </c>
      <c r="N140">
        <v>4</v>
      </c>
    </row>
    <row r="141" spans="1:14" x14ac:dyDescent="0.25">
      <c r="A141" s="3" t="str">
        <f>HYPERLINK("http://www.ncbi.nlm.nih.gov/gene/7965","7965")</f>
        <v>7965</v>
      </c>
      <c r="B141" s="1" t="s">
        <v>385</v>
      </c>
      <c r="C141" t="s">
        <v>386</v>
      </c>
      <c r="D141">
        <v>150</v>
      </c>
      <c r="E141">
        <v>156</v>
      </c>
      <c r="F141">
        <v>88.9</v>
      </c>
      <c r="G141">
        <v>86</v>
      </c>
      <c r="H141">
        <v>152.80000000000001</v>
      </c>
      <c r="I141">
        <v>159.30000000000001</v>
      </c>
      <c r="J141">
        <v>100</v>
      </c>
      <c r="K141">
        <v>100</v>
      </c>
      <c r="L141" s="1" t="s">
        <v>385</v>
      </c>
      <c r="M141" t="s">
        <v>228</v>
      </c>
      <c r="N141">
        <v>3</v>
      </c>
    </row>
    <row r="142" spans="1:14" x14ac:dyDescent="0.25">
      <c r="A142" s="3" t="str">
        <f>HYPERLINK("http://www.ncbi.nlm.nih.gov/gene/9049","9049")</f>
        <v>9049</v>
      </c>
      <c r="B142" s="1" t="s">
        <v>387</v>
      </c>
      <c r="C142" t="s">
        <v>388</v>
      </c>
      <c r="D142">
        <v>123.2</v>
      </c>
      <c r="E142">
        <v>132.1</v>
      </c>
      <c r="F142">
        <v>100</v>
      </c>
      <c r="G142">
        <v>99</v>
      </c>
      <c r="H142">
        <v>136.9</v>
      </c>
      <c r="I142">
        <v>141.69999999999999</v>
      </c>
      <c r="J142">
        <v>100</v>
      </c>
      <c r="K142">
        <v>100</v>
      </c>
      <c r="L142" s="1" t="s">
        <v>387</v>
      </c>
      <c r="M142" t="s">
        <v>389</v>
      </c>
      <c r="N142">
        <v>2</v>
      </c>
    </row>
    <row r="143" spans="1:14" x14ac:dyDescent="0.25">
      <c r="A143" s="3" t="str">
        <f>HYPERLINK("http://www.ncbi.nlm.nih.gov/gene/23746","23746")</f>
        <v>23746</v>
      </c>
      <c r="B143" s="1" t="s">
        <v>390</v>
      </c>
      <c r="C143" t="s">
        <v>391</v>
      </c>
      <c r="D143">
        <v>105</v>
      </c>
      <c r="E143">
        <v>107.9</v>
      </c>
      <c r="F143">
        <v>100</v>
      </c>
      <c r="G143">
        <v>99.8</v>
      </c>
      <c r="H143">
        <v>154.80000000000001</v>
      </c>
      <c r="I143">
        <v>160.6</v>
      </c>
      <c r="J143">
        <v>100</v>
      </c>
      <c r="K143">
        <v>100</v>
      </c>
      <c r="L143" s="1" t="s">
        <v>390</v>
      </c>
      <c r="M143" t="s">
        <v>56</v>
      </c>
      <c r="N143">
        <v>3</v>
      </c>
    </row>
    <row r="144" spans="1:14" x14ac:dyDescent="0.25">
      <c r="A144" s="3" t="str">
        <f>HYPERLINK("http://www.ncbi.nlm.nih.gov/gene/326","326")</f>
        <v>326</v>
      </c>
      <c r="B144" s="1" t="s">
        <v>392</v>
      </c>
      <c r="C144" t="s">
        <v>393</v>
      </c>
      <c r="D144">
        <v>87.8</v>
      </c>
      <c r="E144">
        <v>91</v>
      </c>
      <c r="F144">
        <v>100</v>
      </c>
      <c r="G144">
        <v>99.8</v>
      </c>
      <c r="H144">
        <v>131.19999999999999</v>
      </c>
      <c r="I144">
        <v>134.30000000000001</v>
      </c>
      <c r="J144">
        <v>100</v>
      </c>
      <c r="K144">
        <v>100</v>
      </c>
      <c r="L144" s="1" t="s">
        <v>392</v>
      </c>
      <c r="M144" t="s">
        <v>394</v>
      </c>
      <c r="N144">
        <v>5</v>
      </c>
    </row>
    <row r="145" spans="1:14" x14ac:dyDescent="0.25">
      <c r="A145" s="3" t="str">
        <f>HYPERLINK("http://www.ncbi.nlm.nih.gov/gene/203","203")</f>
        <v>203</v>
      </c>
      <c r="B145" s="1" t="s">
        <v>395</v>
      </c>
      <c r="C145" t="s">
        <v>396</v>
      </c>
      <c r="D145">
        <v>148.80000000000001</v>
      </c>
      <c r="E145">
        <v>153.9</v>
      </c>
      <c r="F145">
        <v>100</v>
      </c>
      <c r="G145">
        <v>100</v>
      </c>
      <c r="H145">
        <v>143.9</v>
      </c>
      <c r="I145">
        <v>147.4</v>
      </c>
      <c r="J145">
        <v>100</v>
      </c>
      <c r="K145">
        <v>100</v>
      </c>
      <c r="L145" s="1" t="s">
        <v>395</v>
      </c>
      <c r="M145" t="s">
        <v>116</v>
      </c>
      <c r="N145">
        <v>3</v>
      </c>
    </row>
    <row r="146" spans="1:14" x14ac:dyDescent="0.25">
      <c r="A146" s="3" t="str">
        <f>HYPERLINK("http://www.ncbi.nlm.nih.gov/gene/204","204")</f>
        <v>204</v>
      </c>
      <c r="B146" s="1" t="s">
        <v>397</v>
      </c>
      <c r="C146" t="s">
        <v>398</v>
      </c>
      <c r="D146">
        <v>120.5</v>
      </c>
      <c r="E146">
        <v>115.9</v>
      </c>
      <c r="F146">
        <v>98.9</v>
      </c>
      <c r="G146">
        <v>94.9</v>
      </c>
      <c r="H146">
        <v>132.19999999999999</v>
      </c>
      <c r="I146">
        <v>135.9</v>
      </c>
      <c r="J146">
        <v>100</v>
      </c>
      <c r="K146">
        <v>99.9</v>
      </c>
      <c r="L146" s="1" t="s">
        <v>397</v>
      </c>
      <c r="M146" t="s">
        <v>399</v>
      </c>
      <c r="N146">
        <v>5</v>
      </c>
    </row>
    <row r="147" spans="1:14" x14ac:dyDescent="0.25">
      <c r="A147" s="3" t="str">
        <f>HYPERLINK("http://www.ncbi.nlm.nih.gov/gene/122481","122481")</f>
        <v>122481</v>
      </c>
      <c r="B147" s="1" t="s">
        <v>400</v>
      </c>
      <c r="C147" t="s">
        <v>401</v>
      </c>
      <c r="D147">
        <v>127.2</v>
      </c>
      <c r="E147">
        <v>132.30000000000001</v>
      </c>
      <c r="F147">
        <v>99.7</v>
      </c>
      <c r="G147">
        <v>98.1</v>
      </c>
      <c r="H147">
        <v>129.6</v>
      </c>
      <c r="I147">
        <v>133</v>
      </c>
      <c r="J147">
        <v>100</v>
      </c>
      <c r="K147">
        <v>100</v>
      </c>
      <c r="L147" s="1" t="s">
        <v>400</v>
      </c>
      <c r="M147" t="s">
        <v>59</v>
      </c>
      <c r="N147">
        <v>1</v>
      </c>
    </row>
    <row r="148" spans="1:14" x14ac:dyDescent="0.25">
      <c r="A148" s="3" t="str">
        <f>HYPERLINK("http://www.ncbi.nlm.nih.gov/gene/10142","10142")</f>
        <v>10142</v>
      </c>
      <c r="B148" s="1" t="s">
        <v>402</v>
      </c>
      <c r="C148" t="s">
        <v>403</v>
      </c>
      <c r="D148">
        <v>105.4</v>
      </c>
      <c r="E148">
        <v>105.8</v>
      </c>
      <c r="F148">
        <v>98.8</v>
      </c>
      <c r="G148">
        <v>95.5</v>
      </c>
      <c r="H148">
        <v>107.9</v>
      </c>
      <c r="I148">
        <v>110.1</v>
      </c>
      <c r="J148">
        <v>100</v>
      </c>
      <c r="K148">
        <v>100</v>
      </c>
      <c r="L148" s="1" t="s">
        <v>402</v>
      </c>
      <c r="M148" t="s">
        <v>197</v>
      </c>
      <c r="N148">
        <v>2</v>
      </c>
    </row>
    <row r="149" spans="1:14" x14ac:dyDescent="0.25">
      <c r="A149" s="3" t="str">
        <f>HYPERLINK("http://www.ncbi.nlm.nih.gov/gene/1645","1645")</f>
        <v>1645</v>
      </c>
      <c r="B149" s="1" t="s">
        <v>404</v>
      </c>
      <c r="C149" t="s">
        <v>405</v>
      </c>
      <c r="D149">
        <v>142</v>
      </c>
      <c r="E149">
        <v>141.4</v>
      </c>
      <c r="F149">
        <v>95.9</v>
      </c>
      <c r="G149">
        <v>89.7</v>
      </c>
      <c r="H149">
        <v>172.2</v>
      </c>
      <c r="I149">
        <v>176</v>
      </c>
      <c r="J149">
        <v>100</v>
      </c>
      <c r="K149">
        <v>100</v>
      </c>
      <c r="L149" s="1" t="s">
        <v>404</v>
      </c>
      <c r="M149" t="s">
        <v>406</v>
      </c>
      <c r="N149">
        <v>2</v>
      </c>
    </row>
    <row r="150" spans="1:14" x14ac:dyDescent="0.25">
      <c r="A150" s="3" t="str">
        <f>HYPERLINK("http://www.ncbi.nlm.nih.gov/gene/1646","1646")</f>
        <v>1646</v>
      </c>
      <c r="B150" s="1" t="s">
        <v>407</v>
      </c>
      <c r="C150" t="s">
        <v>408</v>
      </c>
      <c r="D150">
        <v>165.1</v>
      </c>
      <c r="E150">
        <v>164.2</v>
      </c>
      <c r="F150">
        <v>94.9</v>
      </c>
      <c r="G150">
        <v>89.2</v>
      </c>
      <c r="H150">
        <v>176</v>
      </c>
      <c r="I150">
        <v>179.9</v>
      </c>
      <c r="J150">
        <v>100</v>
      </c>
      <c r="K150">
        <v>100</v>
      </c>
      <c r="L150" s="1" t="s">
        <v>407</v>
      </c>
      <c r="M150" t="s">
        <v>409</v>
      </c>
      <c r="N150">
        <v>2</v>
      </c>
    </row>
    <row r="151" spans="1:14" x14ac:dyDescent="0.25">
      <c r="A151" s="3" t="str">
        <f>HYPERLINK("http://www.ncbi.nlm.nih.gov/gene/6718","6718")</f>
        <v>6718</v>
      </c>
      <c r="B151" s="1" t="s">
        <v>410</v>
      </c>
      <c r="C151" t="s">
        <v>411</v>
      </c>
      <c r="D151">
        <v>115.7</v>
      </c>
      <c r="E151">
        <v>117.4</v>
      </c>
      <c r="F151">
        <v>100</v>
      </c>
      <c r="G151">
        <v>99.4</v>
      </c>
      <c r="H151">
        <v>138.1</v>
      </c>
      <c r="I151">
        <v>141.80000000000001</v>
      </c>
      <c r="J151">
        <v>100</v>
      </c>
      <c r="K151">
        <v>100</v>
      </c>
      <c r="L151" s="1" t="s">
        <v>410</v>
      </c>
      <c r="M151" t="s">
        <v>96</v>
      </c>
      <c r="N151">
        <v>4</v>
      </c>
    </row>
    <row r="152" spans="1:14" x14ac:dyDescent="0.25">
      <c r="A152" s="3" t="str">
        <f>HYPERLINK("http://www.ncbi.nlm.nih.gov/gene/207","207")</f>
        <v>207</v>
      </c>
      <c r="B152" s="1" t="s">
        <v>412</v>
      </c>
      <c r="C152" t="s">
        <v>413</v>
      </c>
      <c r="D152">
        <v>150.1</v>
      </c>
      <c r="E152">
        <v>156.19999999999999</v>
      </c>
      <c r="F152">
        <v>100</v>
      </c>
      <c r="G152">
        <v>99.5</v>
      </c>
      <c r="H152">
        <v>148.80000000000001</v>
      </c>
      <c r="I152">
        <v>151.9</v>
      </c>
      <c r="J152">
        <v>100</v>
      </c>
      <c r="K152">
        <v>100</v>
      </c>
      <c r="L152" s="1" t="s">
        <v>412</v>
      </c>
      <c r="M152" t="s">
        <v>414</v>
      </c>
      <c r="N152">
        <v>3</v>
      </c>
    </row>
    <row r="153" spans="1:14" x14ac:dyDescent="0.25">
      <c r="A153" s="3" t="str">
        <f>HYPERLINK("http://www.ncbi.nlm.nih.gov/gene/208","208")</f>
        <v>208</v>
      </c>
      <c r="B153" s="1" t="s">
        <v>415</v>
      </c>
      <c r="C153" t="s">
        <v>416</v>
      </c>
      <c r="D153">
        <v>166.6</v>
      </c>
      <c r="E153">
        <v>173.2</v>
      </c>
      <c r="F153">
        <v>100</v>
      </c>
      <c r="G153">
        <v>99.5</v>
      </c>
      <c r="H153">
        <v>139.1</v>
      </c>
      <c r="I153">
        <v>143.80000000000001</v>
      </c>
      <c r="J153">
        <v>100</v>
      </c>
      <c r="K153">
        <v>100</v>
      </c>
      <c r="L153" s="1" t="s">
        <v>415</v>
      </c>
      <c r="M153" t="s">
        <v>285</v>
      </c>
      <c r="N153">
        <v>1</v>
      </c>
    </row>
    <row r="154" spans="1:14" x14ac:dyDescent="0.25">
      <c r="A154" s="3" t="str">
        <f>HYPERLINK("http://www.ncbi.nlm.nih.gov/gene/10000","10000")</f>
        <v>10000</v>
      </c>
      <c r="B154" s="1" t="s">
        <v>417</v>
      </c>
      <c r="C154" t="s">
        <v>418</v>
      </c>
      <c r="D154">
        <v>99.6</v>
      </c>
      <c r="E154">
        <v>103.3</v>
      </c>
      <c r="F154">
        <v>98.7</v>
      </c>
      <c r="G154">
        <v>94.5</v>
      </c>
      <c r="H154">
        <v>153</v>
      </c>
      <c r="I154">
        <v>156.19999999999999</v>
      </c>
      <c r="J154">
        <v>100</v>
      </c>
      <c r="K154">
        <v>100</v>
      </c>
      <c r="L154" s="1" t="s">
        <v>417</v>
      </c>
      <c r="M154" t="s">
        <v>419</v>
      </c>
      <c r="N154">
        <v>3</v>
      </c>
    </row>
    <row r="155" spans="1:14" x14ac:dyDescent="0.25">
      <c r="A155" s="3" t="str">
        <f>HYPERLINK("http://www.ncbi.nlm.nih.gov/gene/210","210")</f>
        <v>210</v>
      </c>
      <c r="B155" s="1" t="s">
        <v>420</v>
      </c>
      <c r="C155" t="s">
        <v>421</v>
      </c>
      <c r="D155">
        <v>94.3</v>
      </c>
      <c r="E155">
        <v>95</v>
      </c>
      <c r="F155">
        <v>99.3</v>
      </c>
      <c r="G155">
        <v>94.1</v>
      </c>
      <c r="H155">
        <v>152.9</v>
      </c>
      <c r="I155">
        <v>155.80000000000001</v>
      </c>
      <c r="J155">
        <v>100</v>
      </c>
      <c r="K155">
        <v>100</v>
      </c>
      <c r="L155" s="1" t="s">
        <v>420</v>
      </c>
      <c r="M155" t="s">
        <v>422</v>
      </c>
      <c r="N155">
        <v>4</v>
      </c>
    </row>
    <row r="156" spans="1:14" x14ac:dyDescent="0.25">
      <c r="A156" s="3" t="str">
        <f>HYPERLINK("http://www.ncbi.nlm.nih.gov/gene/212","212")</f>
        <v>212</v>
      </c>
      <c r="B156" s="1" t="s">
        <v>423</v>
      </c>
      <c r="C156" t="s">
        <v>424</v>
      </c>
      <c r="D156">
        <v>83.1</v>
      </c>
      <c r="E156">
        <v>88.1</v>
      </c>
      <c r="F156">
        <v>98.9</v>
      </c>
      <c r="G156">
        <v>94.9</v>
      </c>
      <c r="H156">
        <v>143.19999999999999</v>
      </c>
      <c r="I156">
        <v>147.5</v>
      </c>
      <c r="J156">
        <v>100</v>
      </c>
      <c r="K156">
        <v>100</v>
      </c>
      <c r="L156" s="1" t="s">
        <v>423</v>
      </c>
      <c r="M156" t="s">
        <v>425</v>
      </c>
      <c r="N156">
        <v>4</v>
      </c>
    </row>
    <row r="157" spans="1:14" x14ac:dyDescent="0.25">
      <c r="A157" s="3" t="str">
        <f>HYPERLINK("http://www.ncbi.nlm.nih.gov/gene/213","213")</f>
        <v>213</v>
      </c>
      <c r="B157" s="1" t="s">
        <v>426</v>
      </c>
      <c r="C157" t="s">
        <v>427</v>
      </c>
      <c r="D157">
        <v>182.5</v>
      </c>
      <c r="E157">
        <v>190.4</v>
      </c>
      <c r="F157">
        <v>100</v>
      </c>
      <c r="G157">
        <v>99.4</v>
      </c>
      <c r="H157">
        <v>131.80000000000001</v>
      </c>
      <c r="I157">
        <v>135.80000000000001</v>
      </c>
      <c r="J157">
        <v>100</v>
      </c>
      <c r="K157">
        <v>100</v>
      </c>
      <c r="L157" s="1" t="s">
        <v>426</v>
      </c>
      <c r="M157" t="s">
        <v>428</v>
      </c>
      <c r="N157">
        <v>2</v>
      </c>
    </row>
    <row r="158" spans="1:14" x14ac:dyDescent="0.25">
      <c r="A158" s="3" t="str">
        <f>HYPERLINK("http://www.ncbi.nlm.nih.gov/gene/5832","5832")</f>
        <v>5832</v>
      </c>
      <c r="B158" s="1" t="s">
        <v>429</v>
      </c>
      <c r="C158" t="s">
        <v>430</v>
      </c>
      <c r="D158">
        <v>137.19999999999999</v>
      </c>
      <c r="E158">
        <v>142.19999999999999</v>
      </c>
      <c r="F158">
        <v>100</v>
      </c>
      <c r="G158">
        <v>99.9</v>
      </c>
      <c r="H158">
        <v>140.1</v>
      </c>
      <c r="I158">
        <v>144.19999999999999</v>
      </c>
      <c r="J158">
        <v>100</v>
      </c>
      <c r="K158">
        <v>100</v>
      </c>
      <c r="L158" s="1" t="s">
        <v>429</v>
      </c>
      <c r="M158" t="s">
        <v>431</v>
      </c>
      <c r="N158">
        <v>7</v>
      </c>
    </row>
    <row r="159" spans="1:14" x14ac:dyDescent="0.25">
      <c r="A159" s="3" t="str">
        <f>HYPERLINK("http://www.ncbi.nlm.nih.gov/gene/8854","8854")</f>
        <v>8854</v>
      </c>
      <c r="B159" s="1" t="s">
        <v>432</v>
      </c>
      <c r="C159" t="s">
        <v>433</v>
      </c>
      <c r="D159">
        <v>123.1</v>
      </c>
      <c r="E159">
        <v>125.6</v>
      </c>
      <c r="F159">
        <v>99.9</v>
      </c>
      <c r="G159">
        <v>98.5</v>
      </c>
      <c r="H159">
        <v>130.30000000000001</v>
      </c>
      <c r="I159">
        <v>133.5</v>
      </c>
      <c r="J159">
        <v>100</v>
      </c>
      <c r="K159">
        <v>100</v>
      </c>
      <c r="L159" s="1" t="s">
        <v>432</v>
      </c>
      <c r="M159" t="s">
        <v>180</v>
      </c>
      <c r="N159">
        <v>3</v>
      </c>
    </row>
    <row r="160" spans="1:14" x14ac:dyDescent="0.25">
      <c r="A160" s="3" t="str">
        <f>HYPERLINK("http://www.ncbi.nlm.nih.gov/gene/220","220")</f>
        <v>220</v>
      </c>
      <c r="B160" s="1" t="s">
        <v>434</v>
      </c>
      <c r="C160" t="s">
        <v>435</v>
      </c>
      <c r="D160">
        <v>109.6</v>
      </c>
      <c r="E160">
        <v>112.3</v>
      </c>
      <c r="F160">
        <v>97.2</v>
      </c>
      <c r="G160">
        <v>94.5</v>
      </c>
      <c r="H160">
        <v>127.4</v>
      </c>
      <c r="I160">
        <v>130</v>
      </c>
      <c r="J160">
        <v>100</v>
      </c>
      <c r="K160">
        <v>99.9</v>
      </c>
      <c r="L160" s="1" t="s">
        <v>434</v>
      </c>
      <c r="M160" t="s">
        <v>436</v>
      </c>
      <c r="N160">
        <v>4</v>
      </c>
    </row>
    <row r="161" spans="1:14" x14ac:dyDescent="0.25">
      <c r="A161" s="3" t="str">
        <f>HYPERLINK("http://www.ncbi.nlm.nih.gov/gene/219","219")</f>
        <v>219</v>
      </c>
      <c r="B161" s="1" t="s">
        <v>437</v>
      </c>
      <c r="C161" t="s">
        <v>438</v>
      </c>
      <c r="D161">
        <v>202.8</v>
      </c>
      <c r="E161">
        <v>203.5</v>
      </c>
      <c r="F161">
        <v>100</v>
      </c>
      <c r="G161">
        <v>100</v>
      </c>
      <c r="H161">
        <v>161.6</v>
      </c>
      <c r="I161">
        <v>161.30000000000001</v>
      </c>
      <c r="J161">
        <v>100</v>
      </c>
      <c r="K161">
        <v>100</v>
      </c>
      <c r="L161" s="1" t="s">
        <v>437</v>
      </c>
      <c r="M161" t="s">
        <v>265</v>
      </c>
      <c r="N161">
        <v>2</v>
      </c>
    </row>
    <row r="162" spans="1:14" x14ac:dyDescent="0.25">
      <c r="A162" s="3" t="str">
        <f>HYPERLINK("http://www.ncbi.nlm.nih.gov/gene/217","217")</f>
        <v>217</v>
      </c>
      <c r="B162" s="1" t="s">
        <v>439</v>
      </c>
      <c r="C162" t="s">
        <v>440</v>
      </c>
      <c r="D162">
        <v>127</v>
      </c>
      <c r="E162">
        <v>131.69999999999999</v>
      </c>
      <c r="F162">
        <v>100</v>
      </c>
      <c r="G162">
        <v>100</v>
      </c>
      <c r="H162">
        <v>126.8</v>
      </c>
      <c r="I162">
        <v>130.19999999999999</v>
      </c>
      <c r="J162">
        <v>100</v>
      </c>
      <c r="K162">
        <v>100</v>
      </c>
      <c r="L162" s="1" t="s">
        <v>439</v>
      </c>
      <c r="M162" t="s">
        <v>441</v>
      </c>
      <c r="N162">
        <v>2</v>
      </c>
    </row>
    <row r="163" spans="1:14" x14ac:dyDescent="0.25">
      <c r="A163" s="3" t="str">
        <f>HYPERLINK("http://www.ncbi.nlm.nih.gov/gene/224","224")</f>
        <v>224</v>
      </c>
      <c r="B163" s="1" t="s">
        <v>442</v>
      </c>
      <c r="C163" t="s">
        <v>443</v>
      </c>
      <c r="D163">
        <v>123.6</v>
      </c>
      <c r="E163">
        <v>129.1</v>
      </c>
      <c r="F163">
        <v>88.8</v>
      </c>
      <c r="G163">
        <v>88.1</v>
      </c>
      <c r="H163">
        <v>119.2</v>
      </c>
      <c r="I163">
        <v>123.2</v>
      </c>
      <c r="J163">
        <v>93.2</v>
      </c>
      <c r="K163">
        <v>93.2</v>
      </c>
      <c r="L163" s="1" t="s">
        <v>442</v>
      </c>
      <c r="M163" t="s">
        <v>444</v>
      </c>
      <c r="N163">
        <v>6</v>
      </c>
    </row>
    <row r="164" spans="1:14" x14ac:dyDescent="0.25">
      <c r="A164" s="3" t="str">
        <f>HYPERLINK("http://www.ncbi.nlm.nih.gov/gene/8659","8659")</f>
        <v>8659</v>
      </c>
      <c r="B164" s="1" t="s">
        <v>445</v>
      </c>
      <c r="C164" t="s">
        <v>446</v>
      </c>
      <c r="D164">
        <v>121.6</v>
      </c>
      <c r="E164">
        <v>125</v>
      </c>
      <c r="F164">
        <v>100</v>
      </c>
      <c r="G164">
        <v>99.4</v>
      </c>
      <c r="H164">
        <v>127.3</v>
      </c>
      <c r="I164">
        <v>131.1</v>
      </c>
      <c r="J164">
        <v>100</v>
      </c>
      <c r="K164">
        <v>100</v>
      </c>
      <c r="L164" s="1" t="s">
        <v>445</v>
      </c>
      <c r="M164" t="s">
        <v>38</v>
      </c>
      <c r="N164">
        <v>4</v>
      </c>
    </row>
    <row r="165" spans="1:14" x14ac:dyDescent="0.25">
      <c r="A165" s="3" t="str">
        <f>HYPERLINK("http://www.ncbi.nlm.nih.gov/gene/7915","7915")</f>
        <v>7915</v>
      </c>
      <c r="B165" s="1" t="s">
        <v>447</v>
      </c>
      <c r="C165" t="s">
        <v>448</v>
      </c>
      <c r="D165">
        <v>103.2</v>
      </c>
      <c r="E165">
        <v>106.9</v>
      </c>
      <c r="F165">
        <v>91</v>
      </c>
      <c r="G165">
        <v>81.5</v>
      </c>
      <c r="H165">
        <v>112.1</v>
      </c>
      <c r="I165">
        <v>114.5</v>
      </c>
      <c r="J165">
        <v>100</v>
      </c>
      <c r="K165">
        <v>100</v>
      </c>
      <c r="L165" s="1" t="s">
        <v>447</v>
      </c>
      <c r="M165" t="s">
        <v>449</v>
      </c>
      <c r="N165">
        <v>6</v>
      </c>
    </row>
    <row r="166" spans="1:14" x14ac:dyDescent="0.25">
      <c r="A166" s="3" t="str">
        <f>HYPERLINK("http://www.ncbi.nlm.nih.gov/gene/4329","4329")</f>
        <v>4329</v>
      </c>
      <c r="B166" s="1" t="s">
        <v>450</v>
      </c>
      <c r="C166" t="s">
        <v>451</v>
      </c>
      <c r="D166">
        <v>122.3</v>
      </c>
      <c r="E166">
        <v>126</v>
      </c>
      <c r="F166">
        <v>100</v>
      </c>
      <c r="G166">
        <v>99.9</v>
      </c>
      <c r="H166">
        <v>129.6</v>
      </c>
      <c r="I166">
        <v>132.9</v>
      </c>
      <c r="J166">
        <v>100</v>
      </c>
      <c r="K166">
        <v>100</v>
      </c>
      <c r="L166" s="1" t="s">
        <v>450</v>
      </c>
      <c r="M166" t="s">
        <v>116</v>
      </c>
      <c r="N166">
        <v>3</v>
      </c>
    </row>
    <row r="167" spans="1:14" x14ac:dyDescent="0.25">
      <c r="A167" s="3" t="str">
        <f>HYPERLINK("http://www.ncbi.nlm.nih.gov/gene/501","501")</f>
        <v>501</v>
      </c>
      <c r="B167" s="1" t="s">
        <v>452</v>
      </c>
      <c r="C167" t="s">
        <v>453</v>
      </c>
      <c r="D167">
        <v>78.099999999999994</v>
      </c>
      <c r="E167">
        <v>77.2</v>
      </c>
      <c r="F167">
        <v>94.4</v>
      </c>
      <c r="G167">
        <v>88.8</v>
      </c>
      <c r="H167">
        <v>128.19999999999999</v>
      </c>
      <c r="I167">
        <v>131.19999999999999</v>
      </c>
      <c r="J167">
        <v>100</v>
      </c>
      <c r="K167">
        <v>100</v>
      </c>
      <c r="L167" s="1" t="s">
        <v>452</v>
      </c>
      <c r="M167" t="s">
        <v>214</v>
      </c>
      <c r="N167">
        <v>5</v>
      </c>
    </row>
    <row r="168" spans="1:14" x14ac:dyDescent="0.25">
      <c r="A168" s="3" t="str">
        <f>HYPERLINK("http://www.ncbi.nlm.nih.gov/gene/226","226")</f>
        <v>226</v>
      </c>
      <c r="B168" s="1" t="s">
        <v>454</v>
      </c>
      <c r="C168" t="s">
        <v>455</v>
      </c>
      <c r="D168">
        <v>172</v>
      </c>
      <c r="E168">
        <v>172.4</v>
      </c>
      <c r="F168">
        <v>98.9</v>
      </c>
      <c r="G168">
        <v>96.9</v>
      </c>
      <c r="H168">
        <v>160</v>
      </c>
      <c r="I168">
        <v>163.30000000000001</v>
      </c>
      <c r="J168">
        <v>100</v>
      </c>
      <c r="K168">
        <v>100</v>
      </c>
      <c r="L168" s="1" t="s">
        <v>454</v>
      </c>
      <c r="M168" t="s">
        <v>116</v>
      </c>
      <c r="N168">
        <v>3</v>
      </c>
    </row>
    <row r="169" spans="1:14" x14ac:dyDescent="0.25">
      <c r="A169" s="3" t="str">
        <f>HYPERLINK("http://www.ncbi.nlm.nih.gov/gene/229","229")</f>
        <v>229</v>
      </c>
      <c r="B169" s="1" t="s">
        <v>456</v>
      </c>
      <c r="C169" t="s">
        <v>457</v>
      </c>
      <c r="D169">
        <v>146.6</v>
      </c>
      <c r="E169">
        <v>152.6</v>
      </c>
      <c r="F169">
        <v>99.4</v>
      </c>
      <c r="G169">
        <v>96.6</v>
      </c>
      <c r="H169">
        <v>132.1</v>
      </c>
      <c r="I169">
        <v>136.19999999999999</v>
      </c>
      <c r="J169">
        <v>100</v>
      </c>
      <c r="K169">
        <v>100</v>
      </c>
      <c r="L169" s="1" t="s">
        <v>456</v>
      </c>
      <c r="M169" t="s">
        <v>458</v>
      </c>
      <c r="N169">
        <v>6</v>
      </c>
    </row>
    <row r="170" spans="1:14" x14ac:dyDescent="0.25">
      <c r="A170" s="3" t="str">
        <f>HYPERLINK("http://www.ncbi.nlm.nih.gov/gene/56052","56052")</f>
        <v>56052</v>
      </c>
      <c r="B170" s="1" t="s">
        <v>459</v>
      </c>
      <c r="C170" t="s">
        <v>460</v>
      </c>
      <c r="D170">
        <v>47.6</v>
      </c>
      <c r="E170">
        <v>48.4</v>
      </c>
      <c r="F170">
        <v>53</v>
      </c>
      <c r="G170">
        <v>45.8</v>
      </c>
      <c r="H170">
        <v>145.30000000000001</v>
      </c>
      <c r="I170">
        <v>149.9</v>
      </c>
      <c r="J170">
        <v>100</v>
      </c>
      <c r="K170">
        <v>100</v>
      </c>
      <c r="L170" s="1" t="s">
        <v>459</v>
      </c>
      <c r="M170" t="s">
        <v>461</v>
      </c>
      <c r="N170">
        <v>6</v>
      </c>
    </row>
    <row r="171" spans="1:14" x14ac:dyDescent="0.25">
      <c r="A171" s="3" t="str">
        <f>HYPERLINK("http://www.ncbi.nlm.nih.gov/gene/84920","84920")</f>
        <v>84920</v>
      </c>
      <c r="B171" s="1" t="s">
        <v>462</v>
      </c>
      <c r="C171" t="s">
        <v>463</v>
      </c>
      <c r="D171">
        <v>324.8</v>
      </c>
      <c r="E171">
        <v>313.89999999999998</v>
      </c>
      <c r="F171">
        <v>100</v>
      </c>
      <c r="G171">
        <v>100</v>
      </c>
      <c r="H171">
        <v>156.69999999999999</v>
      </c>
      <c r="I171">
        <v>157.30000000000001</v>
      </c>
      <c r="J171">
        <v>100</v>
      </c>
      <c r="K171">
        <v>100</v>
      </c>
      <c r="L171" s="1" t="s">
        <v>462</v>
      </c>
      <c r="M171" t="s">
        <v>93</v>
      </c>
      <c r="N171">
        <v>2</v>
      </c>
    </row>
    <row r="172" spans="1:14" x14ac:dyDescent="0.25">
      <c r="A172" s="3" t="str">
        <f>HYPERLINK("http://www.ncbi.nlm.nih.gov/gene/440138","440138")</f>
        <v>440138</v>
      </c>
      <c r="B172" s="1" t="s">
        <v>464</v>
      </c>
      <c r="C172" t="s">
        <v>465</v>
      </c>
      <c r="D172">
        <v>159.4</v>
      </c>
      <c r="E172">
        <v>160.4</v>
      </c>
      <c r="F172">
        <v>96.8</v>
      </c>
      <c r="G172">
        <v>96.8</v>
      </c>
      <c r="H172">
        <v>146.5</v>
      </c>
      <c r="I172">
        <v>148.19999999999999</v>
      </c>
      <c r="J172">
        <v>96.8</v>
      </c>
      <c r="K172">
        <v>96.8</v>
      </c>
      <c r="L172" s="1" t="s">
        <v>464</v>
      </c>
      <c r="M172" t="s">
        <v>214</v>
      </c>
      <c r="N172">
        <v>5</v>
      </c>
    </row>
    <row r="173" spans="1:14" x14ac:dyDescent="0.25">
      <c r="A173" s="3" t="str">
        <f>HYPERLINK("http://www.ncbi.nlm.nih.gov/gene/79087","79087")</f>
        <v>79087</v>
      </c>
      <c r="B173" s="1" t="s">
        <v>466</v>
      </c>
      <c r="C173" t="s">
        <v>467</v>
      </c>
      <c r="D173">
        <v>158.6</v>
      </c>
      <c r="E173">
        <v>161.9</v>
      </c>
      <c r="F173">
        <v>100</v>
      </c>
      <c r="G173">
        <v>100</v>
      </c>
      <c r="H173">
        <v>143.30000000000001</v>
      </c>
      <c r="I173">
        <v>147.4</v>
      </c>
      <c r="J173">
        <v>100</v>
      </c>
      <c r="K173">
        <v>100</v>
      </c>
      <c r="L173" s="1" t="s">
        <v>466</v>
      </c>
      <c r="M173" t="s">
        <v>468</v>
      </c>
      <c r="N173">
        <v>5</v>
      </c>
    </row>
    <row r="174" spans="1:14" x14ac:dyDescent="0.25">
      <c r="A174" s="3" t="str">
        <f>HYPERLINK("http://www.ncbi.nlm.nih.gov/gene/79868","79868")</f>
        <v>79868</v>
      </c>
      <c r="B174" s="1" t="s">
        <v>469</v>
      </c>
      <c r="C174" t="s">
        <v>470</v>
      </c>
      <c r="D174">
        <v>89.2</v>
      </c>
      <c r="E174">
        <v>92.1</v>
      </c>
      <c r="F174">
        <v>98.4</v>
      </c>
      <c r="G174">
        <v>92.6</v>
      </c>
      <c r="H174">
        <v>120.1</v>
      </c>
      <c r="I174">
        <v>122.6</v>
      </c>
      <c r="J174">
        <v>100</v>
      </c>
      <c r="K174">
        <v>99.6</v>
      </c>
      <c r="L174" s="1" t="s">
        <v>469</v>
      </c>
      <c r="M174" t="s">
        <v>471</v>
      </c>
      <c r="N174">
        <v>5</v>
      </c>
    </row>
    <row r="175" spans="1:14" x14ac:dyDescent="0.25">
      <c r="A175" s="3" t="str">
        <f>HYPERLINK("http://www.ncbi.nlm.nih.gov/gene/199857","199857")</f>
        <v>199857</v>
      </c>
      <c r="B175" s="1" t="s">
        <v>472</v>
      </c>
      <c r="C175" t="s">
        <v>473</v>
      </c>
      <c r="D175">
        <v>237.5</v>
      </c>
      <c r="E175">
        <v>250.7</v>
      </c>
      <c r="F175">
        <v>100</v>
      </c>
      <c r="G175">
        <v>99.9</v>
      </c>
      <c r="H175">
        <v>123.4</v>
      </c>
      <c r="I175">
        <v>127.7</v>
      </c>
      <c r="J175">
        <v>100</v>
      </c>
      <c r="K175">
        <v>100</v>
      </c>
      <c r="L175" s="1" t="s">
        <v>472</v>
      </c>
      <c r="M175" t="s">
        <v>38</v>
      </c>
      <c r="N175">
        <v>4</v>
      </c>
    </row>
    <row r="176" spans="1:14" x14ac:dyDescent="0.25">
      <c r="A176" s="3" t="str">
        <f>HYPERLINK("http://www.ncbi.nlm.nih.gov/gene/85365","85365")</f>
        <v>85365</v>
      </c>
      <c r="B176" s="1" t="s">
        <v>474</v>
      </c>
      <c r="C176" t="s">
        <v>475</v>
      </c>
      <c r="D176">
        <v>97.3</v>
      </c>
      <c r="E176">
        <v>98.3</v>
      </c>
      <c r="F176">
        <v>100</v>
      </c>
      <c r="G176">
        <v>100</v>
      </c>
      <c r="H176">
        <v>150.5</v>
      </c>
      <c r="I176">
        <v>149.6</v>
      </c>
      <c r="J176">
        <v>100</v>
      </c>
      <c r="K176">
        <v>100</v>
      </c>
      <c r="L176" s="1" t="s">
        <v>474</v>
      </c>
      <c r="M176" t="s">
        <v>38</v>
      </c>
      <c r="N176">
        <v>4</v>
      </c>
    </row>
    <row r="177" spans="1:14" x14ac:dyDescent="0.25">
      <c r="A177" s="3" t="str">
        <f>HYPERLINK("http://www.ncbi.nlm.nih.gov/gene/10195","10195")</f>
        <v>10195</v>
      </c>
      <c r="B177" s="1" t="s">
        <v>476</v>
      </c>
      <c r="C177" t="s">
        <v>477</v>
      </c>
      <c r="D177">
        <v>92.7</v>
      </c>
      <c r="E177">
        <v>92.5</v>
      </c>
      <c r="F177">
        <v>100</v>
      </c>
      <c r="G177">
        <v>99.7</v>
      </c>
      <c r="H177">
        <v>130.4</v>
      </c>
      <c r="I177">
        <v>134</v>
      </c>
      <c r="J177">
        <v>100</v>
      </c>
      <c r="K177">
        <v>100</v>
      </c>
      <c r="L177" s="1" t="s">
        <v>476</v>
      </c>
      <c r="M177" t="s">
        <v>478</v>
      </c>
      <c r="N177">
        <v>7</v>
      </c>
    </row>
    <row r="178" spans="1:14" x14ac:dyDescent="0.25">
      <c r="A178" s="3" t="str">
        <f>HYPERLINK("http://www.ncbi.nlm.nih.gov/gene/29929","29929")</f>
        <v>29929</v>
      </c>
      <c r="B178" s="1" t="s">
        <v>479</v>
      </c>
      <c r="C178" t="s">
        <v>480</v>
      </c>
      <c r="D178">
        <v>120</v>
      </c>
      <c r="E178">
        <v>126.7</v>
      </c>
      <c r="F178">
        <v>98.6</v>
      </c>
      <c r="G178">
        <v>94.8</v>
      </c>
      <c r="H178">
        <v>120.4</v>
      </c>
      <c r="I178">
        <v>124.7</v>
      </c>
      <c r="J178">
        <v>100</v>
      </c>
      <c r="K178">
        <v>100</v>
      </c>
      <c r="L178" s="1" t="s">
        <v>479</v>
      </c>
      <c r="M178" t="s">
        <v>214</v>
      </c>
      <c r="N178">
        <v>5</v>
      </c>
    </row>
    <row r="179" spans="1:14" x14ac:dyDescent="0.25">
      <c r="A179" s="3" t="str">
        <f>HYPERLINK("http://www.ncbi.nlm.nih.gov/gene/79053","79053")</f>
        <v>79053</v>
      </c>
      <c r="B179" s="1" t="s">
        <v>481</v>
      </c>
      <c r="C179" t="s">
        <v>482</v>
      </c>
      <c r="D179">
        <v>127.6</v>
      </c>
      <c r="E179">
        <v>132.5</v>
      </c>
      <c r="F179">
        <v>97.2</v>
      </c>
      <c r="G179">
        <v>95.6</v>
      </c>
      <c r="H179">
        <v>124.3</v>
      </c>
      <c r="I179">
        <v>128.19999999999999</v>
      </c>
      <c r="J179">
        <v>96.6</v>
      </c>
      <c r="K179">
        <v>96.6</v>
      </c>
      <c r="L179" s="1" t="s">
        <v>481</v>
      </c>
      <c r="M179" t="s">
        <v>483</v>
      </c>
      <c r="N179">
        <v>6</v>
      </c>
    </row>
    <row r="180" spans="1:14" x14ac:dyDescent="0.25">
      <c r="A180" s="3" t="str">
        <f>HYPERLINK("http://www.ncbi.nlm.nih.gov/gene/79796","79796")</f>
        <v>79796</v>
      </c>
      <c r="B180" s="1" t="s">
        <v>484</v>
      </c>
      <c r="C180" t="s">
        <v>485</v>
      </c>
      <c r="D180">
        <v>120.2</v>
      </c>
      <c r="E180">
        <v>124.5</v>
      </c>
      <c r="F180">
        <v>100</v>
      </c>
      <c r="G180">
        <v>99.7</v>
      </c>
      <c r="H180">
        <v>118.6</v>
      </c>
      <c r="I180">
        <v>121.5</v>
      </c>
      <c r="J180">
        <v>100</v>
      </c>
      <c r="K180">
        <v>100</v>
      </c>
      <c r="L180" s="1" t="s">
        <v>484</v>
      </c>
      <c r="M180" t="s">
        <v>486</v>
      </c>
      <c r="N180">
        <v>6</v>
      </c>
    </row>
    <row r="181" spans="1:14" x14ac:dyDescent="0.25">
      <c r="A181" s="3" t="str">
        <f>HYPERLINK("http://www.ncbi.nlm.nih.gov/gene/238","238")</f>
        <v>238</v>
      </c>
      <c r="B181" s="1" t="s">
        <v>487</v>
      </c>
      <c r="C181" t="s">
        <v>488</v>
      </c>
      <c r="D181">
        <v>136</v>
      </c>
      <c r="E181">
        <v>137.80000000000001</v>
      </c>
      <c r="F181">
        <v>100</v>
      </c>
      <c r="G181">
        <v>99.4</v>
      </c>
      <c r="H181">
        <v>138</v>
      </c>
      <c r="I181">
        <v>140.19999999999999</v>
      </c>
      <c r="J181">
        <v>100</v>
      </c>
      <c r="K181">
        <v>100</v>
      </c>
      <c r="L181" s="1" t="s">
        <v>487</v>
      </c>
      <c r="M181" t="s">
        <v>19</v>
      </c>
      <c r="N181">
        <v>2</v>
      </c>
    </row>
    <row r="182" spans="1:14" x14ac:dyDescent="0.25">
      <c r="A182" s="3" t="str">
        <f>HYPERLINK("http://www.ncbi.nlm.nih.gov/gene/8846","8846")</f>
        <v>8846</v>
      </c>
      <c r="B182" s="1" t="s">
        <v>489</v>
      </c>
      <c r="C182" t="s">
        <v>490</v>
      </c>
      <c r="D182">
        <v>105.4</v>
      </c>
      <c r="E182">
        <v>108.3</v>
      </c>
      <c r="F182">
        <v>100</v>
      </c>
      <c r="G182">
        <v>99.9</v>
      </c>
      <c r="H182">
        <v>132.5</v>
      </c>
      <c r="I182">
        <v>136.80000000000001</v>
      </c>
      <c r="J182">
        <v>100</v>
      </c>
      <c r="K182">
        <v>100</v>
      </c>
      <c r="L182" s="1" t="s">
        <v>489</v>
      </c>
      <c r="M182" t="s">
        <v>265</v>
      </c>
      <c r="N182">
        <v>2</v>
      </c>
    </row>
    <row r="183" spans="1:14" x14ac:dyDescent="0.25">
      <c r="A183" s="3" t="str">
        <f>HYPERLINK("http://www.ncbi.nlm.nih.gov/gene/91801","91801")</f>
        <v>91801</v>
      </c>
      <c r="B183" s="1" t="s">
        <v>491</v>
      </c>
      <c r="C183" t="s">
        <v>492</v>
      </c>
      <c r="D183">
        <v>135.9</v>
      </c>
      <c r="E183">
        <v>133.6</v>
      </c>
      <c r="F183">
        <v>99.8</v>
      </c>
      <c r="G183">
        <v>98.9</v>
      </c>
      <c r="H183">
        <v>145.30000000000001</v>
      </c>
      <c r="I183">
        <v>148.4</v>
      </c>
      <c r="J183">
        <v>100</v>
      </c>
      <c r="K183">
        <v>100</v>
      </c>
      <c r="L183" s="1" t="s">
        <v>491</v>
      </c>
      <c r="M183" t="s">
        <v>228</v>
      </c>
      <c r="N183">
        <v>3</v>
      </c>
    </row>
    <row r="184" spans="1:14" x14ac:dyDescent="0.25">
      <c r="A184" s="3" t="str">
        <f>HYPERLINK("http://www.ncbi.nlm.nih.gov/gene/7840","7840")</f>
        <v>7840</v>
      </c>
      <c r="B184" s="1" t="s">
        <v>493</v>
      </c>
      <c r="C184" t="s">
        <v>494</v>
      </c>
      <c r="D184">
        <v>206.6</v>
      </c>
      <c r="E184">
        <v>203.4</v>
      </c>
      <c r="F184">
        <v>99.8</v>
      </c>
      <c r="G184">
        <v>99.5</v>
      </c>
      <c r="H184">
        <v>153.4</v>
      </c>
      <c r="I184">
        <v>153.69999999999999</v>
      </c>
      <c r="J184">
        <v>100</v>
      </c>
      <c r="K184">
        <v>100</v>
      </c>
      <c r="L184" s="1" t="s">
        <v>493</v>
      </c>
      <c r="M184" t="s">
        <v>495</v>
      </c>
      <c r="N184">
        <v>9</v>
      </c>
    </row>
    <row r="185" spans="1:14" x14ac:dyDescent="0.25">
      <c r="A185" s="3" t="str">
        <f>HYPERLINK("http://www.ncbi.nlm.nih.gov/gene/242","242")</f>
        <v>242</v>
      </c>
      <c r="B185" s="1" t="s">
        <v>496</v>
      </c>
      <c r="C185" t="s">
        <v>497</v>
      </c>
      <c r="D185">
        <v>124.8</v>
      </c>
      <c r="E185">
        <v>131.30000000000001</v>
      </c>
      <c r="F185">
        <v>100</v>
      </c>
      <c r="G185">
        <v>100</v>
      </c>
      <c r="H185">
        <v>148.19999999999999</v>
      </c>
      <c r="I185">
        <v>152.30000000000001</v>
      </c>
      <c r="J185">
        <v>100</v>
      </c>
      <c r="K185">
        <v>100</v>
      </c>
      <c r="L185" s="1" t="s">
        <v>496</v>
      </c>
      <c r="M185" t="s">
        <v>422</v>
      </c>
      <c r="N185">
        <v>4</v>
      </c>
    </row>
    <row r="186" spans="1:14" x14ac:dyDescent="0.25">
      <c r="A186" s="3" t="str">
        <f>HYPERLINK("http://www.ncbi.nlm.nih.gov/gene/59344","59344")</f>
        <v>59344</v>
      </c>
      <c r="B186" s="1" t="s">
        <v>498</v>
      </c>
      <c r="C186" t="s">
        <v>499</v>
      </c>
      <c r="D186">
        <v>124</v>
      </c>
      <c r="E186">
        <v>127.8</v>
      </c>
      <c r="F186">
        <v>100</v>
      </c>
      <c r="G186">
        <v>99.5</v>
      </c>
      <c r="H186">
        <v>143.6</v>
      </c>
      <c r="I186">
        <v>146.5</v>
      </c>
      <c r="J186">
        <v>100</v>
      </c>
      <c r="K186">
        <v>100</v>
      </c>
      <c r="L186" s="1" t="s">
        <v>498</v>
      </c>
      <c r="M186" t="s">
        <v>246</v>
      </c>
      <c r="N186">
        <v>3</v>
      </c>
    </row>
    <row r="187" spans="1:14" x14ac:dyDescent="0.25">
      <c r="A187" s="3" t="str">
        <f>HYPERLINK("http://www.ncbi.nlm.nih.gov/gene/248","248")</f>
        <v>248</v>
      </c>
      <c r="B187" s="1" t="s">
        <v>500</v>
      </c>
      <c r="C187" t="s">
        <v>501</v>
      </c>
      <c r="D187">
        <v>139.4</v>
      </c>
      <c r="E187">
        <v>138.6</v>
      </c>
      <c r="F187">
        <v>100</v>
      </c>
      <c r="G187">
        <v>99.5</v>
      </c>
      <c r="H187">
        <v>199.5</v>
      </c>
      <c r="I187">
        <v>204.3</v>
      </c>
      <c r="J187">
        <v>100</v>
      </c>
      <c r="K187">
        <v>100</v>
      </c>
      <c r="L187" s="1" t="s">
        <v>500</v>
      </c>
      <c r="M187" t="s">
        <v>502</v>
      </c>
      <c r="N187">
        <v>2</v>
      </c>
    </row>
    <row r="188" spans="1:14" x14ac:dyDescent="0.25">
      <c r="A188" s="3" t="str">
        <f>HYPERLINK("http://www.ncbi.nlm.nih.gov/gene/57538","57538")</f>
        <v>57538</v>
      </c>
      <c r="B188" s="1" t="s">
        <v>503</v>
      </c>
      <c r="C188" t="s">
        <v>504</v>
      </c>
      <c r="D188">
        <v>121.1</v>
      </c>
      <c r="E188">
        <v>105.1</v>
      </c>
      <c r="F188">
        <v>97.8</v>
      </c>
      <c r="G188">
        <v>94.6</v>
      </c>
      <c r="H188">
        <v>140.5</v>
      </c>
      <c r="I188">
        <v>141.4</v>
      </c>
      <c r="J188">
        <v>100</v>
      </c>
      <c r="K188">
        <v>100</v>
      </c>
      <c r="L188" s="1" t="s">
        <v>503</v>
      </c>
      <c r="M188" t="s">
        <v>505</v>
      </c>
      <c r="N188">
        <v>3</v>
      </c>
    </row>
    <row r="189" spans="1:14" x14ac:dyDescent="0.25">
      <c r="A189" s="3" t="str">
        <f>HYPERLINK("http://www.ncbi.nlm.nih.gov/gene/249","249")</f>
        <v>249</v>
      </c>
      <c r="B189" s="1" t="s">
        <v>506</v>
      </c>
      <c r="C189" t="s">
        <v>507</v>
      </c>
      <c r="D189">
        <v>130.1</v>
      </c>
      <c r="E189">
        <v>135.69999999999999</v>
      </c>
      <c r="F189">
        <v>100</v>
      </c>
      <c r="G189">
        <v>100</v>
      </c>
      <c r="H189">
        <v>150.30000000000001</v>
      </c>
      <c r="I189">
        <v>155</v>
      </c>
      <c r="J189">
        <v>100</v>
      </c>
      <c r="K189">
        <v>100</v>
      </c>
      <c r="L189" s="1" t="s">
        <v>506</v>
      </c>
      <c r="M189" t="s">
        <v>508</v>
      </c>
      <c r="N189">
        <v>5</v>
      </c>
    </row>
    <row r="190" spans="1:14" x14ac:dyDescent="0.25">
      <c r="A190" s="3" t="str">
        <f>HYPERLINK("http://www.ncbi.nlm.nih.gov/gene/57679","57679")</f>
        <v>57679</v>
      </c>
      <c r="B190" s="1" t="s">
        <v>509</v>
      </c>
      <c r="C190" t="s">
        <v>510</v>
      </c>
      <c r="D190">
        <v>173</v>
      </c>
      <c r="E190">
        <v>176.4</v>
      </c>
      <c r="F190">
        <v>100</v>
      </c>
      <c r="G190">
        <v>99.9</v>
      </c>
      <c r="H190">
        <v>143.30000000000001</v>
      </c>
      <c r="I190">
        <v>147.6</v>
      </c>
      <c r="J190">
        <v>100</v>
      </c>
      <c r="K190">
        <v>100</v>
      </c>
      <c r="L190" s="1" t="s">
        <v>509</v>
      </c>
      <c r="M190" t="s">
        <v>511</v>
      </c>
      <c r="N190">
        <v>4</v>
      </c>
    </row>
    <row r="191" spans="1:14" x14ac:dyDescent="0.25">
      <c r="A191" s="3" t="str">
        <f>HYPERLINK("http://www.ncbi.nlm.nih.gov/gene/8092","8092")</f>
        <v>8092</v>
      </c>
      <c r="B191" s="1" t="s">
        <v>512</v>
      </c>
      <c r="C191" t="s">
        <v>513</v>
      </c>
      <c r="D191">
        <v>164.2</v>
      </c>
      <c r="E191">
        <v>169.2</v>
      </c>
      <c r="F191">
        <v>99.7</v>
      </c>
      <c r="G191">
        <v>97.1</v>
      </c>
      <c r="H191">
        <v>155.4</v>
      </c>
      <c r="I191">
        <v>161</v>
      </c>
      <c r="J191">
        <v>100</v>
      </c>
      <c r="K191">
        <v>100</v>
      </c>
      <c r="L191" s="1" t="s">
        <v>512</v>
      </c>
      <c r="M191" t="s">
        <v>514</v>
      </c>
      <c r="N191">
        <v>5</v>
      </c>
    </row>
    <row r="192" spans="1:14" x14ac:dyDescent="0.25">
      <c r="A192" s="3" t="str">
        <f>HYPERLINK("http://www.ncbi.nlm.nih.gov/gene/257","257")</f>
        <v>257</v>
      </c>
      <c r="B192" s="1" t="s">
        <v>515</v>
      </c>
      <c r="C192" t="s">
        <v>516</v>
      </c>
      <c r="D192">
        <v>121.8</v>
      </c>
      <c r="E192">
        <v>124.9</v>
      </c>
      <c r="F192">
        <v>77.900000000000006</v>
      </c>
      <c r="G192">
        <v>73.3</v>
      </c>
      <c r="H192">
        <v>119.6</v>
      </c>
      <c r="I192">
        <v>121.4</v>
      </c>
      <c r="J192">
        <v>100</v>
      </c>
      <c r="K192">
        <v>100</v>
      </c>
      <c r="L192" s="1" t="s">
        <v>515</v>
      </c>
      <c r="M192" t="s">
        <v>517</v>
      </c>
      <c r="N192">
        <v>6</v>
      </c>
    </row>
    <row r="193" spans="1:14" x14ac:dyDescent="0.25">
      <c r="A193" s="3" t="str">
        <f>HYPERLINK("http://www.ncbi.nlm.nih.gov/gene/60529","60529")</f>
        <v>60529</v>
      </c>
      <c r="B193" s="1" t="s">
        <v>518</v>
      </c>
      <c r="C193" t="s">
        <v>519</v>
      </c>
      <c r="D193">
        <v>135</v>
      </c>
      <c r="E193">
        <v>137.69999999999999</v>
      </c>
      <c r="F193">
        <v>100</v>
      </c>
      <c r="G193">
        <v>99.3</v>
      </c>
      <c r="H193">
        <v>143.80000000000001</v>
      </c>
      <c r="I193">
        <v>146.19999999999999</v>
      </c>
      <c r="J193">
        <v>100</v>
      </c>
      <c r="K193">
        <v>100</v>
      </c>
      <c r="L193" s="1" t="s">
        <v>518</v>
      </c>
      <c r="M193" t="s">
        <v>520</v>
      </c>
      <c r="N193">
        <v>6</v>
      </c>
    </row>
    <row r="194" spans="1:14" x14ac:dyDescent="0.25">
      <c r="A194" s="3" t="str">
        <f>HYPERLINK("http://www.ncbi.nlm.nih.gov/gene/23600","23600")</f>
        <v>23600</v>
      </c>
      <c r="B194" s="1" t="s">
        <v>521</v>
      </c>
      <c r="C194" t="s">
        <v>522</v>
      </c>
      <c r="D194">
        <v>153.4</v>
      </c>
      <c r="E194">
        <v>159.5</v>
      </c>
      <c r="F194">
        <v>100</v>
      </c>
      <c r="G194">
        <v>100</v>
      </c>
      <c r="H194">
        <v>157.69999999999999</v>
      </c>
      <c r="I194">
        <v>162.1</v>
      </c>
      <c r="J194">
        <v>100</v>
      </c>
      <c r="K194">
        <v>100</v>
      </c>
      <c r="L194" s="1" t="s">
        <v>521</v>
      </c>
      <c r="M194" t="s">
        <v>523</v>
      </c>
      <c r="N194">
        <v>6</v>
      </c>
    </row>
    <row r="195" spans="1:14" x14ac:dyDescent="0.25">
      <c r="A195" s="3" t="str">
        <f>HYPERLINK("http://www.ncbi.nlm.nih.gov/gene/258","258")</f>
        <v>258</v>
      </c>
      <c r="B195" s="1" t="s">
        <v>524</v>
      </c>
      <c r="C195" t="s">
        <v>525</v>
      </c>
      <c r="D195">
        <v>193.5</v>
      </c>
      <c r="E195">
        <v>192.8</v>
      </c>
      <c r="F195">
        <v>99.8</v>
      </c>
      <c r="G195">
        <v>98.5</v>
      </c>
      <c r="H195">
        <v>134.69999999999999</v>
      </c>
      <c r="I195">
        <v>136.5</v>
      </c>
      <c r="J195">
        <v>100</v>
      </c>
      <c r="K195">
        <v>100</v>
      </c>
      <c r="L195" s="1" t="s">
        <v>524</v>
      </c>
      <c r="M195" t="s">
        <v>526</v>
      </c>
      <c r="N195">
        <v>3</v>
      </c>
    </row>
    <row r="196" spans="1:14" x14ac:dyDescent="0.25">
      <c r="A196" s="3" t="str">
        <f>HYPERLINK("http://www.ncbi.nlm.nih.gov/gene/265","265")</f>
        <v>265</v>
      </c>
      <c r="B196" s="1" t="s">
        <v>527</v>
      </c>
      <c r="C196" t="s">
        <v>528</v>
      </c>
      <c r="D196">
        <v>102.7</v>
      </c>
      <c r="E196">
        <v>96.4</v>
      </c>
      <c r="F196">
        <v>99.9</v>
      </c>
      <c r="G196">
        <v>96.8</v>
      </c>
      <c r="H196">
        <v>183.4</v>
      </c>
      <c r="I196">
        <v>186</v>
      </c>
      <c r="J196">
        <v>100</v>
      </c>
      <c r="K196">
        <v>100</v>
      </c>
      <c r="L196" s="1" t="s">
        <v>527</v>
      </c>
      <c r="M196" t="s">
        <v>529</v>
      </c>
      <c r="N196">
        <v>3</v>
      </c>
    </row>
    <row r="197" spans="1:14" x14ac:dyDescent="0.25">
      <c r="A197" s="3" t="str">
        <f>HYPERLINK("http://www.ncbi.nlm.nih.gov/gene/139285","139285")</f>
        <v>139285</v>
      </c>
      <c r="B197" s="1" t="s">
        <v>530</v>
      </c>
      <c r="C197" t="s">
        <v>531</v>
      </c>
      <c r="D197">
        <v>105</v>
      </c>
      <c r="E197">
        <v>108</v>
      </c>
      <c r="F197">
        <v>99.9</v>
      </c>
      <c r="G197">
        <v>98.5</v>
      </c>
      <c r="H197">
        <v>163.30000000000001</v>
      </c>
      <c r="I197">
        <v>163.4</v>
      </c>
      <c r="J197">
        <v>100</v>
      </c>
      <c r="K197">
        <v>100</v>
      </c>
      <c r="L197" s="1" t="s">
        <v>530</v>
      </c>
      <c r="M197" t="s">
        <v>532</v>
      </c>
      <c r="N197">
        <v>5</v>
      </c>
    </row>
    <row r="198" spans="1:14" x14ac:dyDescent="0.25">
      <c r="A198" s="3" t="str">
        <f>HYPERLINK("http://www.ncbi.nlm.nih.gov/gene/268","268")</f>
        <v>268</v>
      </c>
      <c r="B198" s="1" t="s">
        <v>533</v>
      </c>
      <c r="C198" t="s">
        <v>534</v>
      </c>
      <c r="D198">
        <v>70.400000000000006</v>
      </c>
      <c r="E198">
        <v>54.3</v>
      </c>
      <c r="F198">
        <v>96.4</v>
      </c>
      <c r="G198">
        <v>83.8</v>
      </c>
      <c r="H198">
        <v>128.80000000000001</v>
      </c>
      <c r="I198">
        <v>123.2</v>
      </c>
      <c r="J198">
        <v>100</v>
      </c>
      <c r="K198">
        <v>99.8</v>
      </c>
      <c r="L198" s="1" t="s">
        <v>533</v>
      </c>
      <c r="M198" t="s">
        <v>535</v>
      </c>
      <c r="N198">
        <v>3</v>
      </c>
    </row>
    <row r="199" spans="1:14" x14ac:dyDescent="0.25">
      <c r="A199" s="3" t="str">
        <f>HYPERLINK("http://www.ncbi.nlm.nih.gov/gene/269","269")</f>
        <v>269</v>
      </c>
      <c r="B199" s="1" t="s">
        <v>536</v>
      </c>
      <c r="C199" t="s">
        <v>537</v>
      </c>
      <c r="D199">
        <v>147.5</v>
      </c>
      <c r="E199">
        <v>157.4</v>
      </c>
      <c r="F199">
        <v>100</v>
      </c>
      <c r="G199">
        <v>99.5</v>
      </c>
      <c r="H199">
        <v>156</v>
      </c>
      <c r="I199">
        <v>160.5</v>
      </c>
      <c r="J199">
        <v>100</v>
      </c>
      <c r="K199">
        <v>100</v>
      </c>
      <c r="L199" s="1" t="s">
        <v>536</v>
      </c>
      <c r="M199" t="s">
        <v>535</v>
      </c>
      <c r="N199">
        <v>3</v>
      </c>
    </row>
    <row r="200" spans="1:14" x14ac:dyDescent="0.25">
      <c r="A200" s="3" t="str">
        <f>HYPERLINK("http://www.ncbi.nlm.nih.gov/gene/9949","9949")</f>
        <v>9949</v>
      </c>
      <c r="B200" s="1" t="s">
        <v>538</v>
      </c>
      <c r="C200" t="s">
        <v>539</v>
      </c>
      <c r="D200">
        <v>97.9</v>
      </c>
      <c r="E200">
        <v>94.4</v>
      </c>
      <c r="F200">
        <v>100</v>
      </c>
      <c r="G200">
        <v>99.1</v>
      </c>
      <c r="H200">
        <v>118.4</v>
      </c>
      <c r="I200">
        <v>120.4</v>
      </c>
      <c r="J200">
        <v>100</v>
      </c>
      <c r="K200">
        <v>100</v>
      </c>
      <c r="L200" s="1" t="s">
        <v>538</v>
      </c>
      <c r="M200" t="s">
        <v>540</v>
      </c>
      <c r="N200">
        <v>5</v>
      </c>
    </row>
    <row r="201" spans="1:14" x14ac:dyDescent="0.25">
      <c r="A201" s="3" t="str">
        <f>HYPERLINK("http://www.ncbi.nlm.nih.gov/gene/81693","81693")</f>
        <v>81693</v>
      </c>
      <c r="B201" s="1" t="s">
        <v>541</v>
      </c>
      <c r="C201" t="s">
        <v>542</v>
      </c>
      <c r="D201">
        <v>76.3</v>
      </c>
      <c r="E201">
        <v>77.8</v>
      </c>
      <c r="F201">
        <v>89.7</v>
      </c>
      <c r="G201">
        <v>80</v>
      </c>
      <c r="H201">
        <v>113.2</v>
      </c>
      <c r="I201">
        <v>116</v>
      </c>
      <c r="J201">
        <v>100</v>
      </c>
      <c r="K201">
        <v>100</v>
      </c>
      <c r="L201" s="1" t="s">
        <v>541</v>
      </c>
      <c r="M201" t="s">
        <v>543</v>
      </c>
      <c r="N201">
        <v>5</v>
      </c>
    </row>
    <row r="202" spans="1:14" x14ac:dyDescent="0.25">
      <c r="A202" s="3" t="str">
        <f>HYPERLINK("http://www.ncbi.nlm.nih.gov/gene/270","270")</f>
        <v>270</v>
      </c>
      <c r="B202" s="1" t="s">
        <v>544</v>
      </c>
      <c r="C202" t="s">
        <v>545</v>
      </c>
      <c r="D202">
        <v>136.1</v>
      </c>
      <c r="E202">
        <v>142.30000000000001</v>
      </c>
      <c r="F202">
        <v>99.9</v>
      </c>
      <c r="G202">
        <v>98.6</v>
      </c>
      <c r="H202">
        <v>142.9</v>
      </c>
      <c r="I202">
        <v>147.6</v>
      </c>
      <c r="J202">
        <v>100</v>
      </c>
      <c r="K202">
        <v>100</v>
      </c>
      <c r="L202" s="1" t="s">
        <v>544</v>
      </c>
      <c r="M202" t="s">
        <v>116</v>
      </c>
      <c r="N202">
        <v>3</v>
      </c>
    </row>
    <row r="203" spans="1:14" x14ac:dyDescent="0.25">
      <c r="A203" s="3" t="str">
        <f>HYPERLINK("http://www.ncbi.nlm.nih.gov/gene/271","271")</f>
        <v>271</v>
      </c>
      <c r="B203" s="1" t="s">
        <v>546</v>
      </c>
      <c r="C203" t="s">
        <v>547</v>
      </c>
      <c r="D203">
        <v>136</v>
      </c>
      <c r="E203">
        <v>139.4</v>
      </c>
      <c r="F203">
        <v>99.8</v>
      </c>
      <c r="G203">
        <v>98.9</v>
      </c>
      <c r="H203">
        <v>140.6</v>
      </c>
      <c r="I203">
        <v>144.80000000000001</v>
      </c>
      <c r="J203">
        <v>100</v>
      </c>
      <c r="K203">
        <v>100</v>
      </c>
      <c r="L203" s="1" t="s">
        <v>546</v>
      </c>
      <c r="M203" t="s">
        <v>548</v>
      </c>
      <c r="N203">
        <v>5</v>
      </c>
    </row>
    <row r="204" spans="1:14" x14ac:dyDescent="0.25">
      <c r="A204" s="3" t="str">
        <f>HYPERLINK("http://www.ncbi.nlm.nih.gov/gene/272","272")</f>
        <v>272</v>
      </c>
      <c r="B204" s="1" t="s">
        <v>549</v>
      </c>
      <c r="D204">
        <v>119.4</v>
      </c>
      <c r="E204">
        <v>126</v>
      </c>
      <c r="F204">
        <v>99.9</v>
      </c>
      <c r="G204">
        <v>98.5</v>
      </c>
      <c r="H204">
        <v>139.30000000000001</v>
      </c>
      <c r="I204">
        <v>143.69999999999999</v>
      </c>
      <c r="J204">
        <v>100</v>
      </c>
      <c r="K204">
        <v>100</v>
      </c>
      <c r="L204" s="1" t="s">
        <v>549</v>
      </c>
      <c r="M204" t="s">
        <v>93</v>
      </c>
      <c r="N204">
        <v>2</v>
      </c>
    </row>
    <row r="205" spans="1:14" x14ac:dyDescent="0.25">
      <c r="A205" s="3" t="str">
        <f>HYPERLINK("http://www.ncbi.nlm.nih.gov/gene/275","275")</f>
        <v>275</v>
      </c>
      <c r="B205" s="1" t="s">
        <v>550</v>
      </c>
      <c r="C205" t="s">
        <v>551</v>
      </c>
      <c r="D205">
        <v>151.80000000000001</v>
      </c>
      <c r="E205">
        <v>153.30000000000001</v>
      </c>
      <c r="F205">
        <v>100</v>
      </c>
      <c r="G205">
        <v>100</v>
      </c>
      <c r="H205">
        <v>150.4</v>
      </c>
      <c r="I205">
        <v>154.30000000000001</v>
      </c>
      <c r="J205">
        <v>100</v>
      </c>
      <c r="K205">
        <v>100</v>
      </c>
      <c r="L205" s="1" t="s">
        <v>550</v>
      </c>
      <c r="M205" t="s">
        <v>214</v>
      </c>
      <c r="N205">
        <v>5</v>
      </c>
    </row>
    <row r="206" spans="1:14" x14ac:dyDescent="0.25">
      <c r="A206" s="3" t="str">
        <f>HYPERLINK("http://www.ncbi.nlm.nih.gov/gene/401138","401138")</f>
        <v>401138</v>
      </c>
      <c r="B206" s="1" t="s">
        <v>552</v>
      </c>
      <c r="C206" t="s">
        <v>553</v>
      </c>
      <c r="D206">
        <v>135.6</v>
      </c>
      <c r="E206">
        <v>137.6</v>
      </c>
      <c r="F206">
        <v>99.6</v>
      </c>
      <c r="G206">
        <v>98.6</v>
      </c>
      <c r="H206">
        <v>133.5</v>
      </c>
      <c r="I206">
        <v>136.69999999999999</v>
      </c>
      <c r="J206">
        <v>100</v>
      </c>
      <c r="K206">
        <v>100</v>
      </c>
      <c r="L206" s="1" t="s">
        <v>552</v>
      </c>
      <c r="M206" t="s">
        <v>554</v>
      </c>
      <c r="N206">
        <v>2</v>
      </c>
    </row>
    <row r="207" spans="1:14" x14ac:dyDescent="0.25">
      <c r="A207" s="3" t="str">
        <f>HYPERLINK("http://www.ncbi.nlm.nih.gov/gene/64682","64682")</f>
        <v>64682</v>
      </c>
      <c r="B207" s="1" t="s">
        <v>555</v>
      </c>
      <c r="C207" t="s">
        <v>556</v>
      </c>
      <c r="D207">
        <v>89.9</v>
      </c>
      <c r="E207">
        <v>91.5</v>
      </c>
      <c r="F207">
        <v>59.4</v>
      </c>
      <c r="G207">
        <v>57.7</v>
      </c>
      <c r="H207">
        <v>161.30000000000001</v>
      </c>
      <c r="I207">
        <v>166.3</v>
      </c>
      <c r="J207">
        <v>100</v>
      </c>
      <c r="K207">
        <v>99.9</v>
      </c>
      <c r="L207" s="1" t="s">
        <v>555</v>
      </c>
      <c r="M207" t="s">
        <v>53</v>
      </c>
      <c r="N207">
        <v>2</v>
      </c>
    </row>
    <row r="208" spans="1:14" x14ac:dyDescent="0.25">
      <c r="A208" s="3" t="str">
        <f>HYPERLINK("http://www.ncbi.nlm.nih.gov/gene/283","283")</f>
        <v>283</v>
      </c>
      <c r="B208" s="1" t="s">
        <v>557</v>
      </c>
      <c r="C208" t="s">
        <v>558</v>
      </c>
      <c r="D208">
        <v>194.5</v>
      </c>
      <c r="E208">
        <v>210.9</v>
      </c>
      <c r="F208">
        <v>100</v>
      </c>
      <c r="G208">
        <v>100</v>
      </c>
      <c r="H208">
        <v>168</v>
      </c>
      <c r="I208">
        <v>175.8</v>
      </c>
      <c r="J208">
        <v>100</v>
      </c>
      <c r="K208">
        <v>100</v>
      </c>
      <c r="L208" s="1" t="s">
        <v>557</v>
      </c>
      <c r="M208" t="s">
        <v>559</v>
      </c>
      <c r="N208">
        <v>2</v>
      </c>
    </row>
    <row r="209" spans="1:14" x14ac:dyDescent="0.25">
      <c r="A209" s="3" t="str">
        <f>HYPERLINK("http://www.ncbi.nlm.nih.gov/gene/284","284")</f>
        <v>284</v>
      </c>
      <c r="B209" s="1" t="s">
        <v>560</v>
      </c>
      <c r="C209" t="s">
        <v>561</v>
      </c>
      <c r="D209">
        <v>171.1</v>
      </c>
      <c r="E209">
        <v>180.1</v>
      </c>
      <c r="F209">
        <v>99.8</v>
      </c>
      <c r="G209">
        <v>98.7</v>
      </c>
      <c r="H209">
        <v>138.19999999999999</v>
      </c>
      <c r="I209">
        <v>142.69999999999999</v>
      </c>
      <c r="J209">
        <v>100</v>
      </c>
      <c r="K209">
        <v>100</v>
      </c>
      <c r="L209" s="1" t="s">
        <v>560</v>
      </c>
      <c r="M209" t="s">
        <v>562</v>
      </c>
      <c r="N209">
        <v>2</v>
      </c>
    </row>
    <row r="210" spans="1:14" x14ac:dyDescent="0.25">
      <c r="A210" s="3" t="str">
        <f>HYPERLINK("http://www.ncbi.nlm.nih.gov/gene/27329","27329")</f>
        <v>27329</v>
      </c>
      <c r="B210" s="1" t="s">
        <v>563</v>
      </c>
      <c r="C210" t="s">
        <v>564</v>
      </c>
      <c r="D210">
        <v>101</v>
      </c>
      <c r="E210">
        <v>104.9</v>
      </c>
      <c r="F210">
        <v>98.8</v>
      </c>
      <c r="G210">
        <v>95.4</v>
      </c>
      <c r="H210">
        <v>120</v>
      </c>
      <c r="I210">
        <v>122.9</v>
      </c>
      <c r="J210">
        <v>100</v>
      </c>
      <c r="K210">
        <v>100</v>
      </c>
      <c r="L210" s="1" t="s">
        <v>563</v>
      </c>
      <c r="M210" t="s">
        <v>53</v>
      </c>
      <c r="N210">
        <v>2</v>
      </c>
    </row>
    <row r="211" spans="1:14" x14ac:dyDescent="0.25">
      <c r="A211" s="3" t="str">
        <f>HYPERLINK("http://www.ncbi.nlm.nih.gov/gene/51129","51129")</f>
        <v>51129</v>
      </c>
      <c r="B211" s="1" t="s">
        <v>565</v>
      </c>
      <c r="C211" t="s">
        <v>566</v>
      </c>
      <c r="D211">
        <v>111.4</v>
      </c>
      <c r="E211">
        <v>112.4</v>
      </c>
      <c r="F211">
        <v>100</v>
      </c>
      <c r="G211">
        <v>99.2</v>
      </c>
      <c r="H211">
        <v>135.69999999999999</v>
      </c>
      <c r="I211">
        <v>139.69999999999999</v>
      </c>
      <c r="J211">
        <v>100</v>
      </c>
      <c r="K211">
        <v>100</v>
      </c>
      <c r="L211" s="1" t="s">
        <v>565</v>
      </c>
      <c r="M211" t="s">
        <v>285</v>
      </c>
      <c r="N211">
        <v>1</v>
      </c>
    </row>
    <row r="212" spans="1:14" x14ac:dyDescent="0.25">
      <c r="A212" s="3" t="str">
        <f>HYPERLINK("http://www.ncbi.nlm.nih.gov/gene/286","286")</f>
        <v>286</v>
      </c>
      <c r="B212" s="1" t="s">
        <v>567</v>
      </c>
      <c r="C212" t="s">
        <v>568</v>
      </c>
      <c r="D212">
        <v>143.1</v>
      </c>
      <c r="E212">
        <v>151.19999999999999</v>
      </c>
      <c r="F212">
        <v>100</v>
      </c>
      <c r="G212">
        <v>99.4</v>
      </c>
      <c r="H212">
        <v>135.6</v>
      </c>
      <c r="I212">
        <v>138.9</v>
      </c>
      <c r="J212">
        <v>100</v>
      </c>
      <c r="K212">
        <v>100</v>
      </c>
      <c r="L212" s="1" t="s">
        <v>567</v>
      </c>
      <c r="M212" t="s">
        <v>569</v>
      </c>
      <c r="N212">
        <v>2</v>
      </c>
    </row>
    <row r="213" spans="1:14" x14ac:dyDescent="0.25">
      <c r="A213" s="3" t="str">
        <f>HYPERLINK("http://www.ncbi.nlm.nih.gov/gene/287","287")</f>
        <v>287</v>
      </c>
      <c r="B213" s="1" t="s">
        <v>570</v>
      </c>
      <c r="C213" t="s">
        <v>571</v>
      </c>
      <c r="D213">
        <v>168.5</v>
      </c>
      <c r="E213">
        <v>153.80000000000001</v>
      </c>
      <c r="F213">
        <v>100</v>
      </c>
      <c r="G213">
        <v>100</v>
      </c>
      <c r="H213">
        <v>137.30000000000001</v>
      </c>
      <c r="I213">
        <v>138.9</v>
      </c>
      <c r="J213">
        <v>100</v>
      </c>
      <c r="K213">
        <v>100</v>
      </c>
      <c r="L213" s="1" t="s">
        <v>570</v>
      </c>
      <c r="M213" t="s">
        <v>197</v>
      </c>
      <c r="N213">
        <v>2</v>
      </c>
    </row>
    <row r="214" spans="1:14" x14ac:dyDescent="0.25">
      <c r="A214" s="3" t="str">
        <f>HYPERLINK("http://www.ncbi.nlm.nih.gov/gene/288","288")</f>
        <v>288</v>
      </c>
      <c r="B214" s="1" t="s">
        <v>572</v>
      </c>
      <c r="C214" t="s">
        <v>573</v>
      </c>
      <c r="D214">
        <v>173.6</v>
      </c>
      <c r="E214">
        <v>171.9</v>
      </c>
      <c r="F214">
        <v>99.3</v>
      </c>
      <c r="G214">
        <v>99</v>
      </c>
      <c r="H214">
        <v>148.6</v>
      </c>
      <c r="I214">
        <v>149.1</v>
      </c>
      <c r="J214">
        <v>100</v>
      </c>
      <c r="K214">
        <v>100</v>
      </c>
      <c r="L214" s="1" t="s">
        <v>572</v>
      </c>
      <c r="M214" t="s">
        <v>228</v>
      </c>
      <c r="N214">
        <v>3</v>
      </c>
    </row>
    <row r="215" spans="1:14" x14ac:dyDescent="0.25">
      <c r="A215" s="3" t="str">
        <f>HYPERLINK("http://www.ncbi.nlm.nih.gov/gene/56172","56172")</f>
        <v>56172</v>
      </c>
      <c r="B215" s="1" t="s">
        <v>574</v>
      </c>
      <c r="C215" t="s">
        <v>575</v>
      </c>
      <c r="D215">
        <v>127.9</v>
      </c>
      <c r="E215">
        <v>132.4</v>
      </c>
      <c r="F215">
        <v>100</v>
      </c>
      <c r="G215">
        <v>100</v>
      </c>
      <c r="H215">
        <v>134.9</v>
      </c>
      <c r="I215">
        <v>138.4</v>
      </c>
      <c r="J215">
        <v>100</v>
      </c>
      <c r="K215">
        <v>100</v>
      </c>
      <c r="L215" s="1" t="s">
        <v>574</v>
      </c>
      <c r="M215" t="s">
        <v>576</v>
      </c>
      <c r="N215">
        <v>4</v>
      </c>
    </row>
    <row r="216" spans="1:14" x14ac:dyDescent="0.25">
      <c r="A216" s="3" t="str">
        <f>HYPERLINK("http://www.ncbi.nlm.nih.gov/gene/23141","23141")</f>
        <v>23141</v>
      </c>
      <c r="B216" s="1" t="s">
        <v>577</v>
      </c>
      <c r="C216" t="s">
        <v>578</v>
      </c>
      <c r="D216">
        <v>164.3</v>
      </c>
      <c r="E216">
        <v>164.7</v>
      </c>
      <c r="F216">
        <v>99.9</v>
      </c>
      <c r="G216">
        <v>98.6</v>
      </c>
      <c r="H216">
        <v>140.6</v>
      </c>
      <c r="I216">
        <v>143.69999999999999</v>
      </c>
      <c r="J216">
        <v>100</v>
      </c>
      <c r="K216">
        <v>99.8</v>
      </c>
      <c r="L216" s="1" t="s">
        <v>577</v>
      </c>
      <c r="M216" t="s">
        <v>228</v>
      </c>
      <c r="N216">
        <v>3</v>
      </c>
    </row>
    <row r="217" spans="1:14" x14ac:dyDescent="0.25">
      <c r="A217" s="3" t="str">
        <f>HYPERLINK("http://www.ncbi.nlm.nih.gov/gene/27063","27063")</f>
        <v>27063</v>
      </c>
      <c r="B217" s="1" t="s">
        <v>579</v>
      </c>
      <c r="C217" t="s">
        <v>580</v>
      </c>
      <c r="D217">
        <v>126.7</v>
      </c>
      <c r="E217">
        <v>129.30000000000001</v>
      </c>
      <c r="F217">
        <v>100</v>
      </c>
      <c r="G217">
        <v>99.4</v>
      </c>
      <c r="H217">
        <v>128.9</v>
      </c>
      <c r="I217">
        <v>132.4</v>
      </c>
      <c r="J217">
        <v>100</v>
      </c>
      <c r="K217">
        <v>100</v>
      </c>
      <c r="L217" s="1" t="s">
        <v>579</v>
      </c>
      <c r="M217" t="s">
        <v>180</v>
      </c>
      <c r="N217">
        <v>3</v>
      </c>
    </row>
    <row r="218" spans="1:14" x14ac:dyDescent="0.25">
      <c r="A218" s="3" t="str">
        <f>HYPERLINK("http://www.ncbi.nlm.nih.gov/gene/29123","29123")</f>
        <v>29123</v>
      </c>
      <c r="B218" s="1" t="s">
        <v>581</v>
      </c>
      <c r="C218" t="s">
        <v>582</v>
      </c>
      <c r="D218">
        <v>124.1</v>
      </c>
      <c r="E218">
        <v>118.7</v>
      </c>
      <c r="F218">
        <v>96.1</v>
      </c>
      <c r="G218">
        <v>93.5</v>
      </c>
      <c r="H218">
        <v>152.9</v>
      </c>
      <c r="I218">
        <v>152.6</v>
      </c>
      <c r="J218">
        <v>100</v>
      </c>
      <c r="K218">
        <v>100</v>
      </c>
      <c r="L218" s="1" t="s">
        <v>581</v>
      </c>
      <c r="M218" t="s">
        <v>583</v>
      </c>
      <c r="N218">
        <v>7</v>
      </c>
    </row>
    <row r="219" spans="1:14" x14ac:dyDescent="0.25">
      <c r="A219" s="3" t="str">
        <f>HYPERLINK("http://www.ncbi.nlm.nih.gov/gene/22852","22852")</f>
        <v>22852</v>
      </c>
      <c r="B219" s="1" t="s">
        <v>584</v>
      </c>
      <c r="C219" t="s">
        <v>585</v>
      </c>
      <c r="D219">
        <v>96.3</v>
      </c>
      <c r="E219">
        <v>94.5</v>
      </c>
      <c r="F219">
        <v>95</v>
      </c>
      <c r="G219">
        <v>89.3</v>
      </c>
      <c r="H219">
        <v>121.6</v>
      </c>
      <c r="I219">
        <v>124.8</v>
      </c>
      <c r="J219">
        <v>97.2</v>
      </c>
      <c r="K219">
        <v>97.2</v>
      </c>
      <c r="L219" s="1" t="s">
        <v>584</v>
      </c>
      <c r="M219" t="s">
        <v>586</v>
      </c>
      <c r="N219">
        <v>4</v>
      </c>
    </row>
    <row r="220" spans="1:14" x14ac:dyDescent="0.25">
      <c r="A220" s="3" t="str">
        <f>HYPERLINK("http://www.ncbi.nlm.nih.gov/gene/56899","56899")</f>
        <v>56899</v>
      </c>
      <c r="B220" s="1" t="s">
        <v>587</v>
      </c>
      <c r="C220" t="s">
        <v>588</v>
      </c>
      <c r="D220">
        <v>141.80000000000001</v>
      </c>
      <c r="E220">
        <v>147.19999999999999</v>
      </c>
      <c r="F220">
        <v>100</v>
      </c>
      <c r="G220">
        <v>99.6</v>
      </c>
      <c r="H220">
        <v>148.69999999999999</v>
      </c>
      <c r="I220">
        <v>151.69999999999999</v>
      </c>
      <c r="J220">
        <v>100</v>
      </c>
      <c r="K220">
        <v>100</v>
      </c>
      <c r="L220" s="1" t="s">
        <v>587</v>
      </c>
      <c r="M220" t="s">
        <v>189</v>
      </c>
      <c r="N220">
        <v>2</v>
      </c>
    </row>
    <row r="221" spans="1:14" x14ac:dyDescent="0.25">
      <c r="A221" s="3" t="str">
        <f>HYPERLINK("http://www.ncbi.nlm.nih.gov/gene/203286","203286")</f>
        <v>203286</v>
      </c>
      <c r="B221" s="1" t="s">
        <v>589</v>
      </c>
      <c r="C221" t="s">
        <v>590</v>
      </c>
      <c r="D221">
        <v>94</v>
      </c>
      <c r="E221">
        <v>95.9</v>
      </c>
      <c r="F221">
        <v>93.8</v>
      </c>
      <c r="G221">
        <v>89.5</v>
      </c>
      <c r="H221">
        <v>135.69999999999999</v>
      </c>
      <c r="I221">
        <v>138.30000000000001</v>
      </c>
      <c r="J221">
        <v>97.9</v>
      </c>
      <c r="K221">
        <v>95.8</v>
      </c>
      <c r="L221" s="1" t="s">
        <v>589</v>
      </c>
      <c r="M221" t="s">
        <v>591</v>
      </c>
      <c r="N221">
        <v>5</v>
      </c>
    </row>
    <row r="222" spans="1:14" x14ac:dyDescent="0.25">
      <c r="A222" s="3" t="str">
        <f>HYPERLINK("http://www.ncbi.nlm.nih.gov/gene/54443","54443")</f>
        <v>54443</v>
      </c>
      <c r="B222" s="1" t="s">
        <v>592</v>
      </c>
      <c r="C222" t="s">
        <v>593</v>
      </c>
      <c r="D222">
        <v>162.6</v>
      </c>
      <c r="E222">
        <v>170.7</v>
      </c>
      <c r="F222">
        <v>98.7</v>
      </c>
      <c r="G222">
        <v>97.5</v>
      </c>
      <c r="H222">
        <v>123.7</v>
      </c>
      <c r="I222">
        <v>127.3</v>
      </c>
      <c r="J222">
        <v>100</v>
      </c>
      <c r="K222">
        <v>100</v>
      </c>
      <c r="L222" s="1" t="s">
        <v>592</v>
      </c>
      <c r="M222" t="s">
        <v>594</v>
      </c>
      <c r="N222">
        <v>3</v>
      </c>
    </row>
    <row r="223" spans="1:14" x14ac:dyDescent="0.25">
      <c r="A223" s="3" t="str">
        <f>HYPERLINK("http://www.ncbi.nlm.nih.gov/gene/55129","55129")</f>
        <v>55129</v>
      </c>
      <c r="B223" s="1" t="s">
        <v>595</v>
      </c>
      <c r="C223" t="s">
        <v>596</v>
      </c>
      <c r="D223">
        <v>130.69999999999999</v>
      </c>
      <c r="E223">
        <v>131.5</v>
      </c>
      <c r="F223">
        <v>99.8</v>
      </c>
      <c r="G223">
        <v>97.9</v>
      </c>
      <c r="H223">
        <v>138.9</v>
      </c>
      <c r="I223">
        <v>141.9</v>
      </c>
      <c r="J223">
        <v>100</v>
      </c>
      <c r="K223">
        <v>100</v>
      </c>
      <c r="L223" s="1" t="s">
        <v>595</v>
      </c>
      <c r="M223" t="s">
        <v>597</v>
      </c>
      <c r="N223">
        <v>5</v>
      </c>
    </row>
    <row r="224" spans="1:14" x14ac:dyDescent="0.25">
      <c r="A224" s="3" t="str">
        <f>HYPERLINK("http://www.ncbi.nlm.nih.gov/gene/63982","63982")</f>
        <v>63982</v>
      </c>
      <c r="B224" s="1" t="s">
        <v>598</v>
      </c>
      <c r="C224" t="s">
        <v>599</v>
      </c>
      <c r="D224">
        <v>129.19999999999999</v>
      </c>
      <c r="E224">
        <v>134.19999999999999</v>
      </c>
      <c r="F224">
        <v>92.4</v>
      </c>
      <c r="G224">
        <v>90.8</v>
      </c>
      <c r="H224">
        <v>136.19999999999999</v>
      </c>
      <c r="I224">
        <v>140.1</v>
      </c>
      <c r="J224">
        <v>100</v>
      </c>
      <c r="K224">
        <v>100</v>
      </c>
      <c r="L224" s="1" t="s">
        <v>598</v>
      </c>
      <c r="M224" t="s">
        <v>600</v>
      </c>
      <c r="N224">
        <v>2</v>
      </c>
    </row>
    <row r="225" spans="1:14" x14ac:dyDescent="0.25">
      <c r="A225" s="3" t="str">
        <f>HYPERLINK("http://www.ncbi.nlm.nih.gov/gene/203859","203859")</f>
        <v>203859</v>
      </c>
      <c r="B225" s="1" t="s">
        <v>601</v>
      </c>
      <c r="C225" t="s">
        <v>602</v>
      </c>
      <c r="D225">
        <v>149.1</v>
      </c>
      <c r="E225">
        <v>156.6</v>
      </c>
      <c r="F225">
        <v>99.5</v>
      </c>
      <c r="G225">
        <v>97.3</v>
      </c>
      <c r="H225">
        <v>135.30000000000001</v>
      </c>
      <c r="I225">
        <v>139.30000000000001</v>
      </c>
      <c r="J225">
        <v>100</v>
      </c>
      <c r="K225">
        <v>100</v>
      </c>
      <c r="L225" s="1" t="s">
        <v>601</v>
      </c>
      <c r="M225" t="s">
        <v>603</v>
      </c>
      <c r="N225">
        <v>4</v>
      </c>
    </row>
    <row r="226" spans="1:14" x14ac:dyDescent="0.25">
      <c r="A226" s="3" t="str">
        <f>HYPERLINK("http://www.ncbi.nlm.nih.gov/gene/196527","196527")</f>
        <v>196527</v>
      </c>
      <c r="B226" s="1" t="s">
        <v>604</v>
      </c>
      <c r="C226" t="s">
        <v>605</v>
      </c>
      <c r="D226">
        <v>164.4</v>
      </c>
      <c r="E226">
        <v>169</v>
      </c>
      <c r="F226">
        <v>99.9</v>
      </c>
      <c r="G226">
        <v>98.7</v>
      </c>
      <c r="H226">
        <v>134.30000000000001</v>
      </c>
      <c r="I226">
        <v>138.80000000000001</v>
      </c>
      <c r="J226">
        <v>100</v>
      </c>
      <c r="K226">
        <v>100</v>
      </c>
      <c r="L226" s="1" t="s">
        <v>604</v>
      </c>
      <c r="M226" t="s">
        <v>606</v>
      </c>
      <c r="N226">
        <v>3</v>
      </c>
    </row>
    <row r="227" spans="1:14" x14ac:dyDescent="0.25">
      <c r="A227" s="3" t="str">
        <f>HYPERLINK("http://www.ncbi.nlm.nih.gov/gene/3730","3730")</f>
        <v>3730</v>
      </c>
      <c r="B227" s="1" t="s">
        <v>607</v>
      </c>
      <c r="C227" t="s">
        <v>608</v>
      </c>
      <c r="D227">
        <v>93.7</v>
      </c>
      <c r="E227">
        <v>97.2</v>
      </c>
      <c r="F227">
        <v>89.8</v>
      </c>
      <c r="G227">
        <v>88.9</v>
      </c>
      <c r="H227">
        <v>125</v>
      </c>
      <c r="I227">
        <v>128.9</v>
      </c>
      <c r="J227">
        <v>99.9</v>
      </c>
      <c r="K227">
        <v>99.4</v>
      </c>
      <c r="L227" s="1" t="s">
        <v>607</v>
      </c>
      <c r="M227" t="s">
        <v>609</v>
      </c>
      <c r="N227">
        <v>5</v>
      </c>
    </row>
    <row r="228" spans="1:14" x14ac:dyDescent="0.25">
      <c r="A228" s="3" t="str">
        <f>HYPERLINK("http://www.ncbi.nlm.nih.gov/gene/84168","84168")</f>
        <v>84168</v>
      </c>
      <c r="B228" s="1" t="s">
        <v>610</v>
      </c>
      <c r="C228" t="s">
        <v>611</v>
      </c>
      <c r="D228">
        <v>127.6</v>
      </c>
      <c r="E228">
        <v>127.7</v>
      </c>
      <c r="F228">
        <v>99.7</v>
      </c>
      <c r="G228">
        <v>97.9</v>
      </c>
      <c r="H228">
        <v>138.4</v>
      </c>
      <c r="I228">
        <v>137.4</v>
      </c>
      <c r="J228">
        <v>100</v>
      </c>
      <c r="K228">
        <v>100</v>
      </c>
      <c r="L228" s="1" t="s">
        <v>610</v>
      </c>
      <c r="M228" t="s">
        <v>612</v>
      </c>
      <c r="N228">
        <v>4</v>
      </c>
    </row>
    <row r="229" spans="1:14" x14ac:dyDescent="0.25">
      <c r="A229" s="3" t="str">
        <f>HYPERLINK("http://www.ncbi.nlm.nih.gov/gene/118429","118429")</f>
        <v>118429</v>
      </c>
      <c r="B229" s="1" t="s">
        <v>613</v>
      </c>
      <c r="C229" t="s">
        <v>614</v>
      </c>
      <c r="D229">
        <v>140.69999999999999</v>
      </c>
      <c r="E229">
        <v>143.4</v>
      </c>
      <c r="F229">
        <v>100</v>
      </c>
      <c r="G229">
        <v>98.2</v>
      </c>
      <c r="H229">
        <v>134.6</v>
      </c>
      <c r="I229">
        <v>137.5</v>
      </c>
      <c r="J229">
        <v>100</v>
      </c>
      <c r="K229">
        <v>100</v>
      </c>
      <c r="L229" s="1" t="s">
        <v>613</v>
      </c>
      <c r="M229" t="s">
        <v>239</v>
      </c>
      <c r="N229">
        <v>4</v>
      </c>
    </row>
    <row r="230" spans="1:14" x14ac:dyDescent="0.25">
      <c r="A230" s="3" t="str">
        <f>HYPERLINK("http://www.ncbi.nlm.nih.gov/gene/311","311")</f>
        <v>311</v>
      </c>
      <c r="B230" s="1" t="s">
        <v>615</v>
      </c>
      <c r="C230" t="s">
        <v>616</v>
      </c>
      <c r="D230">
        <v>99</v>
      </c>
      <c r="E230">
        <v>101.5</v>
      </c>
      <c r="F230">
        <v>100</v>
      </c>
      <c r="G230">
        <v>98.5</v>
      </c>
      <c r="H230">
        <v>133.80000000000001</v>
      </c>
      <c r="I230">
        <v>135.5</v>
      </c>
      <c r="J230">
        <v>100</v>
      </c>
      <c r="K230">
        <v>100</v>
      </c>
      <c r="L230" s="1" t="s">
        <v>615</v>
      </c>
      <c r="M230" t="s">
        <v>617</v>
      </c>
      <c r="N230">
        <v>2</v>
      </c>
    </row>
    <row r="231" spans="1:14" x14ac:dyDescent="0.25">
      <c r="A231" s="3" t="str">
        <f>HYPERLINK("http://www.ncbi.nlm.nih.gov/gene/162","162")</f>
        <v>162</v>
      </c>
      <c r="B231" s="1" t="s">
        <v>618</v>
      </c>
      <c r="C231" t="s">
        <v>619</v>
      </c>
      <c r="D231">
        <v>140.30000000000001</v>
      </c>
      <c r="E231">
        <v>147.30000000000001</v>
      </c>
      <c r="F231">
        <v>100</v>
      </c>
      <c r="G231">
        <v>99.5</v>
      </c>
      <c r="H231">
        <v>141</v>
      </c>
      <c r="I231">
        <v>144.9</v>
      </c>
      <c r="J231">
        <v>100</v>
      </c>
      <c r="K231">
        <v>100</v>
      </c>
      <c r="L231" s="1" t="s">
        <v>618</v>
      </c>
      <c r="M231" t="s">
        <v>620</v>
      </c>
      <c r="N231">
        <v>4</v>
      </c>
    </row>
    <row r="232" spans="1:14" x14ac:dyDescent="0.25">
      <c r="A232" s="3" t="str">
        <f>HYPERLINK("http://www.ncbi.nlm.nih.gov/gene/1174","1174")</f>
        <v>1174</v>
      </c>
      <c r="B232" s="1" t="s">
        <v>621</v>
      </c>
      <c r="C232" t="s">
        <v>622</v>
      </c>
      <c r="D232">
        <v>121.7</v>
      </c>
      <c r="E232">
        <v>124.8</v>
      </c>
      <c r="F232">
        <v>99.9</v>
      </c>
      <c r="G232">
        <v>99.5</v>
      </c>
      <c r="H232">
        <v>109.6</v>
      </c>
      <c r="I232">
        <v>112.1</v>
      </c>
      <c r="J232">
        <v>100</v>
      </c>
      <c r="K232">
        <v>100</v>
      </c>
      <c r="L232" s="1" t="s">
        <v>621</v>
      </c>
      <c r="M232" t="s">
        <v>305</v>
      </c>
      <c r="N232">
        <v>5</v>
      </c>
    </row>
    <row r="233" spans="1:14" x14ac:dyDescent="0.25">
      <c r="A233" s="3" t="str">
        <f>HYPERLINK("http://www.ncbi.nlm.nih.gov/gene/8905","8905")</f>
        <v>8905</v>
      </c>
      <c r="B233" s="1" t="s">
        <v>623</v>
      </c>
      <c r="C233" t="s">
        <v>624</v>
      </c>
      <c r="D233">
        <v>63.5</v>
      </c>
      <c r="E233">
        <v>66.400000000000006</v>
      </c>
      <c r="F233">
        <v>77.900000000000006</v>
      </c>
      <c r="G233">
        <v>69.900000000000006</v>
      </c>
      <c r="H233">
        <v>103.3</v>
      </c>
      <c r="I233">
        <v>105.9</v>
      </c>
      <c r="J233">
        <v>100</v>
      </c>
      <c r="K233">
        <v>100</v>
      </c>
      <c r="L233" s="1" t="s">
        <v>623</v>
      </c>
      <c r="M233" t="s">
        <v>322</v>
      </c>
      <c r="N233">
        <v>2</v>
      </c>
    </row>
    <row r="234" spans="1:14" x14ac:dyDescent="0.25">
      <c r="A234" s="3" t="str">
        <f>HYPERLINK("http://www.ncbi.nlm.nih.gov/gene/130340","130340")</f>
        <v>130340</v>
      </c>
      <c r="B234" s="1" t="s">
        <v>625</v>
      </c>
      <c r="C234" t="s">
        <v>626</v>
      </c>
      <c r="D234">
        <v>142.4</v>
      </c>
      <c r="E234">
        <v>146.69999999999999</v>
      </c>
      <c r="F234">
        <v>90.4</v>
      </c>
      <c r="G234">
        <v>90.1</v>
      </c>
      <c r="H234">
        <v>141.9</v>
      </c>
      <c r="I234">
        <v>147.30000000000001</v>
      </c>
      <c r="J234">
        <v>90.5</v>
      </c>
      <c r="K234">
        <v>90.5</v>
      </c>
      <c r="L234" s="1" t="s">
        <v>625</v>
      </c>
      <c r="M234" t="s">
        <v>627</v>
      </c>
      <c r="N234">
        <v>3</v>
      </c>
    </row>
    <row r="235" spans="1:14" x14ac:dyDescent="0.25">
      <c r="A235" s="3" t="str">
        <f>HYPERLINK("http://www.ncbi.nlm.nih.gov/gene/1173","1173")</f>
        <v>1173</v>
      </c>
      <c r="B235" s="1" t="s">
        <v>628</v>
      </c>
      <c r="C235" t="s">
        <v>629</v>
      </c>
      <c r="D235">
        <v>121.5</v>
      </c>
      <c r="E235">
        <v>124.8</v>
      </c>
      <c r="F235">
        <v>100</v>
      </c>
      <c r="G235">
        <v>100</v>
      </c>
      <c r="H235">
        <v>134.1</v>
      </c>
      <c r="I235">
        <v>137.9</v>
      </c>
      <c r="J235">
        <v>100</v>
      </c>
      <c r="K235">
        <v>100</v>
      </c>
      <c r="L235" s="1" t="s">
        <v>628</v>
      </c>
      <c r="M235" t="s">
        <v>189</v>
      </c>
      <c r="N235">
        <v>2</v>
      </c>
    </row>
    <row r="236" spans="1:14" x14ac:dyDescent="0.25">
      <c r="A236" s="3" t="str">
        <f>HYPERLINK("http://www.ncbi.nlm.nih.gov/gene/1175","1175")</f>
        <v>1175</v>
      </c>
      <c r="B236" s="1" t="s">
        <v>630</v>
      </c>
      <c r="C236" t="s">
        <v>631</v>
      </c>
      <c r="D236">
        <v>130.30000000000001</v>
      </c>
      <c r="E236">
        <v>133.19999999999999</v>
      </c>
      <c r="F236">
        <v>90.4</v>
      </c>
      <c r="G236">
        <v>90.3</v>
      </c>
      <c r="H236">
        <v>124.6</v>
      </c>
      <c r="I236">
        <v>127.8</v>
      </c>
      <c r="J236">
        <v>100</v>
      </c>
      <c r="K236">
        <v>100</v>
      </c>
      <c r="L236" s="1" t="s">
        <v>630</v>
      </c>
      <c r="M236" t="s">
        <v>200</v>
      </c>
      <c r="N236">
        <v>2</v>
      </c>
    </row>
    <row r="237" spans="1:14" x14ac:dyDescent="0.25">
      <c r="A237" s="3" t="str">
        <f>HYPERLINK("http://www.ncbi.nlm.nih.gov/gene/8546","8546")</f>
        <v>8546</v>
      </c>
      <c r="B237" s="1" t="s">
        <v>632</v>
      </c>
      <c r="C237" t="s">
        <v>633</v>
      </c>
      <c r="D237">
        <v>134.69999999999999</v>
      </c>
      <c r="E237">
        <v>140.4</v>
      </c>
      <c r="F237">
        <v>99.2</v>
      </c>
      <c r="G237">
        <v>95.8</v>
      </c>
      <c r="H237">
        <v>128</v>
      </c>
      <c r="I237">
        <v>131.69999999999999</v>
      </c>
      <c r="J237">
        <v>100</v>
      </c>
      <c r="K237">
        <v>100</v>
      </c>
      <c r="L237" s="1" t="s">
        <v>632</v>
      </c>
      <c r="M237" t="s">
        <v>634</v>
      </c>
      <c r="N237">
        <v>7</v>
      </c>
    </row>
    <row r="238" spans="1:14" x14ac:dyDescent="0.25">
      <c r="A238" s="3" t="str">
        <f>HYPERLINK("http://www.ncbi.nlm.nih.gov/gene/8120","8120")</f>
        <v>8120</v>
      </c>
      <c r="B238" s="1" t="s">
        <v>635</v>
      </c>
      <c r="C238" t="s">
        <v>636</v>
      </c>
      <c r="D238">
        <v>124.4</v>
      </c>
      <c r="E238">
        <v>127.7</v>
      </c>
      <c r="F238">
        <v>93.3</v>
      </c>
      <c r="G238">
        <v>89.5</v>
      </c>
      <c r="H238">
        <v>130.30000000000001</v>
      </c>
      <c r="I238">
        <v>134.1</v>
      </c>
      <c r="J238">
        <v>99.8</v>
      </c>
      <c r="K238">
        <v>98.6</v>
      </c>
      <c r="L238" s="1" t="s">
        <v>635</v>
      </c>
      <c r="M238" t="s">
        <v>214</v>
      </c>
      <c r="N238">
        <v>5</v>
      </c>
    </row>
    <row r="239" spans="1:14" x14ac:dyDescent="0.25">
      <c r="A239" s="3" t="str">
        <f>HYPERLINK("http://www.ncbi.nlm.nih.gov/gene/8943","8943")</f>
        <v>8943</v>
      </c>
      <c r="B239" s="1" t="s">
        <v>637</v>
      </c>
      <c r="C239" t="s">
        <v>638</v>
      </c>
      <c r="D239">
        <v>119.6</v>
      </c>
      <c r="E239">
        <v>125.3</v>
      </c>
      <c r="F239">
        <v>99.8</v>
      </c>
      <c r="G239">
        <v>98.6</v>
      </c>
      <c r="H239">
        <v>135.1</v>
      </c>
      <c r="I239">
        <v>138.6</v>
      </c>
      <c r="J239">
        <v>100</v>
      </c>
      <c r="K239">
        <v>100</v>
      </c>
      <c r="L239" s="1" t="s">
        <v>637</v>
      </c>
      <c r="M239" t="s">
        <v>639</v>
      </c>
      <c r="N239">
        <v>6</v>
      </c>
    </row>
    <row r="240" spans="1:14" x14ac:dyDescent="0.25">
      <c r="A240" s="3" t="str">
        <f>HYPERLINK("http://www.ncbi.nlm.nih.gov/gene/10717","10717")</f>
        <v>10717</v>
      </c>
      <c r="B240" s="1" t="s">
        <v>640</v>
      </c>
      <c r="C240" t="s">
        <v>641</v>
      </c>
      <c r="D240">
        <v>151.80000000000001</v>
      </c>
      <c r="E240">
        <v>151.80000000000001</v>
      </c>
      <c r="F240">
        <v>99.9</v>
      </c>
      <c r="G240">
        <v>98.7</v>
      </c>
      <c r="H240">
        <v>154.19999999999999</v>
      </c>
      <c r="I240">
        <v>158.5</v>
      </c>
      <c r="J240">
        <v>100</v>
      </c>
      <c r="K240">
        <v>100</v>
      </c>
      <c r="L240" s="1" t="s">
        <v>640</v>
      </c>
      <c r="M240" t="s">
        <v>288</v>
      </c>
      <c r="N240">
        <v>4</v>
      </c>
    </row>
    <row r="241" spans="1:14" x14ac:dyDescent="0.25">
      <c r="A241" s="3" t="str">
        <f>HYPERLINK("http://www.ncbi.nlm.nih.gov/gene/23431","23431")</f>
        <v>23431</v>
      </c>
      <c r="B241" s="1" t="s">
        <v>642</v>
      </c>
      <c r="C241" t="s">
        <v>643</v>
      </c>
      <c r="D241">
        <v>118.9</v>
      </c>
      <c r="E241">
        <v>120.4</v>
      </c>
      <c r="F241">
        <v>99.8</v>
      </c>
      <c r="G241">
        <v>98.7</v>
      </c>
      <c r="H241">
        <v>126.1</v>
      </c>
      <c r="I241">
        <v>129.30000000000001</v>
      </c>
      <c r="J241">
        <v>100</v>
      </c>
      <c r="K241">
        <v>100</v>
      </c>
      <c r="L241" s="1" t="s">
        <v>642</v>
      </c>
      <c r="M241" t="s">
        <v>644</v>
      </c>
      <c r="N241">
        <v>4</v>
      </c>
    </row>
    <row r="242" spans="1:14" x14ac:dyDescent="0.25">
      <c r="A242" s="3" t="str">
        <f>HYPERLINK("http://www.ncbi.nlm.nih.gov/gene/9179","9179")</f>
        <v>9179</v>
      </c>
      <c r="B242" s="1" t="s">
        <v>645</v>
      </c>
      <c r="C242" t="s">
        <v>646</v>
      </c>
      <c r="D242">
        <v>142.9</v>
      </c>
      <c r="E242">
        <v>145.6</v>
      </c>
      <c r="F242">
        <v>99.9</v>
      </c>
      <c r="G242">
        <v>98.9</v>
      </c>
      <c r="H242">
        <v>132.30000000000001</v>
      </c>
      <c r="I242">
        <v>134.6</v>
      </c>
      <c r="J242">
        <v>100</v>
      </c>
      <c r="K242">
        <v>100</v>
      </c>
      <c r="L242" s="1" t="s">
        <v>645</v>
      </c>
      <c r="M242" t="s">
        <v>288</v>
      </c>
      <c r="N242">
        <v>4</v>
      </c>
    </row>
    <row r="243" spans="1:14" x14ac:dyDescent="0.25">
      <c r="A243" s="3" t="str">
        <f>HYPERLINK("http://www.ncbi.nlm.nih.gov/gene/11154","11154")</f>
        <v>11154</v>
      </c>
      <c r="B243" s="1" t="s">
        <v>647</v>
      </c>
      <c r="C243" t="s">
        <v>648</v>
      </c>
      <c r="D243">
        <v>89.2</v>
      </c>
      <c r="E243">
        <v>89.2</v>
      </c>
      <c r="F243">
        <v>78.900000000000006</v>
      </c>
      <c r="G243">
        <v>71.3</v>
      </c>
      <c r="H243">
        <v>99.3</v>
      </c>
      <c r="I243">
        <v>102.1</v>
      </c>
      <c r="J243">
        <v>87.9</v>
      </c>
      <c r="K243">
        <v>87.9</v>
      </c>
      <c r="L243" s="1" t="s">
        <v>647</v>
      </c>
      <c r="M243" t="s">
        <v>288</v>
      </c>
      <c r="N243">
        <v>4</v>
      </c>
    </row>
    <row r="244" spans="1:14" x14ac:dyDescent="0.25">
      <c r="A244" s="3" t="str">
        <f>HYPERLINK("http://www.ncbi.nlm.nih.gov/gene/9907","9907")</f>
        <v>9907</v>
      </c>
      <c r="B244" s="1" t="s">
        <v>649</v>
      </c>
      <c r="C244" t="s">
        <v>650</v>
      </c>
      <c r="D244">
        <v>106.5</v>
      </c>
      <c r="E244">
        <v>110.8</v>
      </c>
      <c r="F244">
        <v>100</v>
      </c>
      <c r="G244">
        <v>99.8</v>
      </c>
      <c r="H244">
        <v>153.5</v>
      </c>
      <c r="I244">
        <v>158.30000000000001</v>
      </c>
      <c r="J244">
        <v>100</v>
      </c>
      <c r="K244">
        <v>100</v>
      </c>
      <c r="L244" s="1" t="s">
        <v>649</v>
      </c>
      <c r="M244" t="s">
        <v>53</v>
      </c>
      <c r="N244">
        <v>2</v>
      </c>
    </row>
    <row r="245" spans="1:14" x14ac:dyDescent="0.25">
      <c r="A245" s="3" t="str">
        <f>HYPERLINK("http://www.ncbi.nlm.nih.gov/gene/324","324")</f>
        <v>324</v>
      </c>
      <c r="B245" s="1" t="s">
        <v>651</v>
      </c>
      <c r="C245" t="s">
        <v>652</v>
      </c>
      <c r="D245">
        <v>170.1</v>
      </c>
      <c r="E245">
        <v>168.3</v>
      </c>
      <c r="F245">
        <v>100</v>
      </c>
      <c r="G245">
        <v>99.7</v>
      </c>
      <c r="H245">
        <v>134.80000000000001</v>
      </c>
      <c r="I245">
        <v>133.5</v>
      </c>
      <c r="J245">
        <v>100</v>
      </c>
      <c r="K245">
        <v>100</v>
      </c>
      <c r="L245" s="1" t="s">
        <v>651</v>
      </c>
      <c r="M245" t="s">
        <v>653</v>
      </c>
      <c r="N245">
        <v>3</v>
      </c>
    </row>
    <row r="246" spans="1:14" x14ac:dyDescent="0.25">
      <c r="A246" s="3" t="str">
        <f>HYPERLINK("http://www.ncbi.nlm.nih.gov/gene/10297","10297")</f>
        <v>10297</v>
      </c>
      <c r="B246" s="1" t="s">
        <v>654</v>
      </c>
      <c r="C246" t="s">
        <v>655</v>
      </c>
      <c r="D246">
        <v>103.3</v>
      </c>
      <c r="E246">
        <v>93.7</v>
      </c>
      <c r="F246">
        <v>97.6</v>
      </c>
      <c r="G246">
        <v>92.7</v>
      </c>
      <c r="H246">
        <v>136.30000000000001</v>
      </c>
      <c r="I246">
        <v>142</v>
      </c>
      <c r="J246">
        <v>99.9</v>
      </c>
      <c r="K246">
        <v>99.1</v>
      </c>
      <c r="L246" s="1" t="s">
        <v>654</v>
      </c>
      <c r="M246" t="s">
        <v>656</v>
      </c>
      <c r="N246">
        <v>4</v>
      </c>
    </row>
    <row r="247" spans="1:14" x14ac:dyDescent="0.25">
      <c r="A247" s="3" t="str">
        <f>HYPERLINK("http://www.ncbi.nlm.nih.gov/gene/147495","147495")</f>
        <v>147495</v>
      </c>
      <c r="B247" s="1" t="s">
        <v>657</v>
      </c>
      <c r="C247" t="s">
        <v>658</v>
      </c>
      <c r="D247">
        <v>173.1</v>
      </c>
      <c r="E247">
        <v>186.3</v>
      </c>
      <c r="F247">
        <v>100</v>
      </c>
      <c r="G247">
        <v>99.8</v>
      </c>
      <c r="H247">
        <v>171.3</v>
      </c>
      <c r="I247">
        <v>175.4</v>
      </c>
      <c r="J247">
        <v>100</v>
      </c>
      <c r="K247">
        <v>100</v>
      </c>
      <c r="L247" s="1" t="s">
        <v>657</v>
      </c>
      <c r="M247" t="s">
        <v>29</v>
      </c>
      <c r="N247">
        <v>2</v>
      </c>
    </row>
    <row r="248" spans="1:14" x14ac:dyDescent="0.25">
      <c r="A248" s="3" t="str">
        <f>HYPERLINK("http://www.ncbi.nlm.nih.gov/gene/335","335")</f>
        <v>335</v>
      </c>
      <c r="B248" s="1" t="s">
        <v>659</v>
      </c>
      <c r="C248" t="s">
        <v>660</v>
      </c>
      <c r="D248">
        <v>114.7</v>
      </c>
      <c r="E248">
        <v>114</v>
      </c>
      <c r="F248">
        <v>100</v>
      </c>
      <c r="G248">
        <v>100</v>
      </c>
      <c r="H248">
        <v>124.3</v>
      </c>
      <c r="I248">
        <v>121.5</v>
      </c>
      <c r="J248">
        <v>100</v>
      </c>
      <c r="K248">
        <v>100</v>
      </c>
      <c r="L248" s="1" t="s">
        <v>659</v>
      </c>
      <c r="M248" t="s">
        <v>661</v>
      </c>
      <c r="N248">
        <v>2</v>
      </c>
    </row>
    <row r="249" spans="1:14" x14ac:dyDescent="0.25">
      <c r="A249" s="3" t="str">
        <f>HYPERLINK("http://www.ncbi.nlm.nih.gov/gene/336","336")</f>
        <v>336</v>
      </c>
      <c r="B249" s="1" t="s">
        <v>662</v>
      </c>
      <c r="C249" t="s">
        <v>663</v>
      </c>
      <c r="D249">
        <v>95.1</v>
      </c>
      <c r="E249">
        <v>97.1</v>
      </c>
      <c r="F249">
        <v>84.2</v>
      </c>
      <c r="G249">
        <v>81.5</v>
      </c>
      <c r="H249">
        <v>133.6</v>
      </c>
      <c r="I249">
        <v>136</v>
      </c>
      <c r="J249">
        <v>100</v>
      </c>
      <c r="K249">
        <v>100</v>
      </c>
      <c r="L249" s="1" t="s">
        <v>662</v>
      </c>
      <c r="M249" t="s">
        <v>22</v>
      </c>
      <c r="N249">
        <v>1</v>
      </c>
    </row>
    <row r="250" spans="1:14" x14ac:dyDescent="0.25">
      <c r="A250" s="3" t="str">
        <f>HYPERLINK("http://www.ncbi.nlm.nih.gov/gene/116519","116519")</f>
        <v>116519</v>
      </c>
      <c r="B250" s="1" t="s">
        <v>664</v>
      </c>
      <c r="C250" t="s">
        <v>665</v>
      </c>
      <c r="D250">
        <v>169.6</v>
      </c>
      <c r="E250">
        <v>188.5</v>
      </c>
      <c r="F250">
        <v>100</v>
      </c>
      <c r="G250">
        <v>99.9</v>
      </c>
      <c r="H250">
        <v>128.19999999999999</v>
      </c>
      <c r="I250">
        <v>133.19999999999999</v>
      </c>
      <c r="J250">
        <v>100</v>
      </c>
      <c r="K250">
        <v>99.5</v>
      </c>
      <c r="L250" s="1" t="s">
        <v>664</v>
      </c>
      <c r="M250" t="s">
        <v>406</v>
      </c>
      <c r="N250">
        <v>2</v>
      </c>
    </row>
    <row r="251" spans="1:14" x14ac:dyDescent="0.25">
      <c r="A251" s="3" t="str">
        <f>HYPERLINK("http://www.ncbi.nlm.nih.gov/gene/338","338")</f>
        <v>338</v>
      </c>
      <c r="B251" s="1" t="s">
        <v>666</v>
      </c>
      <c r="C251" t="s">
        <v>667</v>
      </c>
      <c r="D251">
        <v>180.9</v>
      </c>
      <c r="E251">
        <v>186.7</v>
      </c>
      <c r="F251">
        <v>99.8</v>
      </c>
      <c r="G251">
        <v>99.3</v>
      </c>
      <c r="H251">
        <v>148.4</v>
      </c>
      <c r="I251">
        <v>150.19999999999999</v>
      </c>
      <c r="J251">
        <v>100</v>
      </c>
      <c r="K251">
        <v>100</v>
      </c>
      <c r="L251" s="1" t="s">
        <v>666</v>
      </c>
      <c r="M251" t="s">
        <v>668</v>
      </c>
      <c r="N251">
        <v>3</v>
      </c>
    </row>
    <row r="252" spans="1:14" x14ac:dyDescent="0.25">
      <c r="A252" s="3" t="str">
        <f>HYPERLINK("http://www.ncbi.nlm.nih.gov/gene/344","344")</f>
        <v>344</v>
      </c>
      <c r="B252" s="1" t="s">
        <v>669</v>
      </c>
      <c r="C252" t="s">
        <v>670</v>
      </c>
      <c r="D252">
        <v>108.4</v>
      </c>
      <c r="E252">
        <v>110.2</v>
      </c>
      <c r="F252">
        <v>100</v>
      </c>
      <c r="G252">
        <v>100</v>
      </c>
      <c r="H252">
        <v>152.69999999999999</v>
      </c>
      <c r="I252">
        <v>155.9</v>
      </c>
      <c r="J252">
        <v>100</v>
      </c>
      <c r="K252">
        <v>100</v>
      </c>
      <c r="L252" s="1" t="s">
        <v>669</v>
      </c>
      <c r="M252" t="s">
        <v>116</v>
      </c>
      <c r="N252">
        <v>3</v>
      </c>
    </row>
    <row r="253" spans="1:14" x14ac:dyDescent="0.25">
      <c r="A253" s="3" t="str">
        <f>HYPERLINK("http://www.ncbi.nlm.nih.gov/gene/345","345")</f>
        <v>345</v>
      </c>
      <c r="B253" s="1" t="s">
        <v>671</v>
      </c>
      <c r="C253" t="s">
        <v>672</v>
      </c>
      <c r="D253">
        <v>95.5</v>
      </c>
      <c r="E253">
        <v>99.4</v>
      </c>
      <c r="F253">
        <v>100</v>
      </c>
      <c r="G253">
        <v>100</v>
      </c>
      <c r="H253">
        <v>143</v>
      </c>
      <c r="I253">
        <v>145.80000000000001</v>
      </c>
      <c r="J253">
        <v>100</v>
      </c>
      <c r="K253">
        <v>100</v>
      </c>
      <c r="L253" s="1" t="s">
        <v>671</v>
      </c>
      <c r="M253" t="s">
        <v>22</v>
      </c>
      <c r="N253">
        <v>1</v>
      </c>
    </row>
    <row r="254" spans="1:14" x14ac:dyDescent="0.25">
      <c r="A254" s="3" t="str">
        <f>HYPERLINK("http://www.ncbi.nlm.nih.gov/gene/348","348")</f>
        <v>348</v>
      </c>
      <c r="B254" s="1" t="s">
        <v>673</v>
      </c>
      <c r="C254" t="s">
        <v>674</v>
      </c>
      <c r="D254">
        <v>76.400000000000006</v>
      </c>
      <c r="E254">
        <v>64.400000000000006</v>
      </c>
      <c r="F254">
        <v>98.9</v>
      </c>
      <c r="G254">
        <v>90.7</v>
      </c>
      <c r="H254">
        <v>124.9</v>
      </c>
      <c r="I254">
        <v>128.4</v>
      </c>
      <c r="J254">
        <v>100</v>
      </c>
      <c r="K254">
        <v>100</v>
      </c>
      <c r="L254" s="1" t="s">
        <v>673</v>
      </c>
      <c r="M254" t="s">
        <v>675</v>
      </c>
      <c r="N254">
        <v>2</v>
      </c>
    </row>
    <row r="255" spans="1:14" x14ac:dyDescent="0.25">
      <c r="A255" s="3" t="str">
        <f>HYPERLINK("http://www.ncbi.nlm.nih.gov/gene/8542","8542")</f>
        <v>8542</v>
      </c>
      <c r="B255" s="1" t="s">
        <v>676</v>
      </c>
      <c r="C255" t="s">
        <v>677</v>
      </c>
      <c r="D255">
        <v>175.4</v>
      </c>
      <c r="E255">
        <v>171.5</v>
      </c>
      <c r="F255">
        <v>100</v>
      </c>
      <c r="G255">
        <v>100</v>
      </c>
      <c r="H255">
        <v>158.30000000000001</v>
      </c>
      <c r="I255">
        <v>160.4</v>
      </c>
      <c r="J255">
        <v>100</v>
      </c>
      <c r="K255">
        <v>100</v>
      </c>
      <c r="L255" s="1" t="s">
        <v>676</v>
      </c>
      <c r="M255" t="s">
        <v>678</v>
      </c>
      <c r="N255">
        <v>3</v>
      </c>
    </row>
    <row r="256" spans="1:14" x14ac:dyDescent="0.25">
      <c r="A256" s="3" t="str">
        <f>HYPERLINK("http://www.ncbi.nlm.nih.gov/gene/79135","79135")</f>
        <v>79135</v>
      </c>
      <c r="B256" s="1" t="s">
        <v>679</v>
      </c>
      <c r="C256" t="s">
        <v>680</v>
      </c>
      <c r="D256">
        <v>69.099999999999994</v>
      </c>
      <c r="E256">
        <v>69.8</v>
      </c>
      <c r="F256">
        <v>85.7</v>
      </c>
      <c r="G256">
        <v>75.3</v>
      </c>
      <c r="H256">
        <v>111.8</v>
      </c>
      <c r="I256">
        <v>114</v>
      </c>
      <c r="J256">
        <v>100</v>
      </c>
      <c r="K256">
        <v>100</v>
      </c>
      <c r="L256" s="1" t="s">
        <v>679</v>
      </c>
      <c r="M256" t="s">
        <v>681</v>
      </c>
      <c r="N256">
        <v>2</v>
      </c>
    </row>
    <row r="257" spans="1:14" x14ac:dyDescent="0.25">
      <c r="A257" s="3" t="str">
        <f>HYPERLINK("http://www.ncbi.nlm.nih.gov/gene/351","351")</f>
        <v>351</v>
      </c>
      <c r="B257" s="1" t="s">
        <v>682</v>
      </c>
      <c r="C257" t="s">
        <v>683</v>
      </c>
      <c r="D257">
        <v>128.6</v>
      </c>
      <c r="E257">
        <v>133.30000000000001</v>
      </c>
      <c r="F257">
        <v>100</v>
      </c>
      <c r="G257">
        <v>99.9</v>
      </c>
      <c r="H257">
        <v>143.80000000000001</v>
      </c>
      <c r="I257">
        <v>147.80000000000001</v>
      </c>
      <c r="J257">
        <v>100</v>
      </c>
      <c r="K257">
        <v>100</v>
      </c>
      <c r="L257" s="1" t="s">
        <v>682</v>
      </c>
      <c r="M257" t="s">
        <v>285</v>
      </c>
      <c r="N257">
        <v>1</v>
      </c>
    </row>
    <row r="258" spans="1:14" x14ac:dyDescent="0.25">
      <c r="A258" s="3" t="str">
        <f>HYPERLINK("http://www.ncbi.nlm.nih.gov/gene/353","353")</f>
        <v>353</v>
      </c>
      <c r="B258" s="1" t="s">
        <v>684</v>
      </c>
      <c r="C258" t="s">
        <v>685</v>
      </c>
      <c r="D258">
        <v>81.8</v>
      </c>
      <c r="E258">
        <v>81.400000000000006</v>
      </c>
      <c r="F258">
        <v>100</v>
      </c>
      <c r="G258">
        <v>99.5</v>
      </c>
      <c r="H258">
        <v>148.6</v>
      </c>
      <c r="I258">
        <v>151.80000000000001</v>
      </c>
      <c r="J258">
        <v>100</v>
      </c>
      <c r="K258">
        <v>100</v>
      </c>
      <c r="L258" s="1" t="s">
        <v>684</v>
      </c>
      <c r="M258" t="s">
        <v>365</v>
      </c>
      <c r="N258">
        <v>4</v>
      </c>
    </row>
    <row r="259" spans="1:14" x14ac:dyDescent="0.25">
      <c r="A259" s="3" t="str">
        <f>HYPERLINK("http://www.ncbi.nlm.nih.gov/gene/54840","54840")</f>
        <v>54840</v>
      </c>
      <c r="B259" s="1" t="s">
        <v>686</v>
      </c>
      <c r="C259" t="s">
        <v>687</v>
      </c>
      <c r="D259">
        <v>116.4</v>
      </c>
      <c r="E259">
        <v>122.7</v>
      </c>
      <c r="F259">
        <v>94.9</v>
      </c>
      <c r="G259">
        <v>92.4</v>
      </c>
      <c r="H259">
        <v>133.4</v>
      </c>
      <c r="I259">
        <v>136.30000000000001</v>
      </c>
      <c r="J259">
        <v>100</v>
      </c>
      <c r="K259">
        <v>100</v>
      </c>
      <c r="L259" s="1" t="s">
        <v>686</v>
      </c>
      <c r="M259" t="s">
        <v>310</v>
      </c>
      <c r="N259">
        <v>6</v>
      </c>
    </row>
    <row r="260" spans="1:14" x14ac:dyDescent="0.25">
      <c r="A260" s="3" t="str">
        <f>HYPERLINK("http://www.ncbi.nlm.nih.gov/gene/359","359")</f>
        <v>359</v>
      </c>
      <c r="B260" s="1" t="s">
        <v>688</v>
      </c>
      <c r="C260" t="s">
        <v>689</v>
      </c>
      <c r="D260">
        <v>114</v>
      </c>
      <c r="E260">
        <v>112.2</v>
      </c>
      <c r="F260">
        <v>100</v>
      </c>
      <c r="G260">
        <v>98.6</v>
      </c>
      <c r="H260">
        <v>179.7</v>
      </c>
      <c r="I260">
        <v>183.5</v>
      </c>
      <c r="J260">
        <v>100</v>
      </c>
      <c r="K260">
        <v>100</v>
      </c>
      <c r="L260" s="1" t="s">
        <v>688</v>
      </c>
      <c r="M260" t="s">
        <v>690</v>
      </c>
      <c r="N260">
        <v>3</v>
      </c>
    </row>
    <row r="261" spans="1:14" x14ac:dyDescent="0.25">
      <c r="A261" s="3" t="str">
        <f>HYPERLINK("http://www.ncbi.nlm.nih.gov/gene/362","362")</f>
        <v>362</v>
      </c>
      <c r="B261" s="1" t="s">
        <v>691</v>
      </c>
      <c r="C261" t="s">
        <v>692</v>
      </c>
      <c r="D261">
        <v>123.1</v>
      </c>
      <c r="E261">
        <v>124.2</v>
      </c>
      <c r="F261">
        <v>100</v>
      </c>
      <c r="G261">
        <v>97</v>
      </c>
      <c r="H261">
        <v>142.4</v>
      </c>
      <c r="I261">
        <v>146.5</v>
      </c>
      <c r="J261">
        <v>100</v>
      </c>
      <c r="K261">
        <v>100</v>
      </c>
      <c r="L261" s="1" t="s">
        <v>691</v>
      </c>
      <c r="M261" t="s">
        <v>29</v>
      </c>
      <c r="N261">
        <v>2</v>
      </c>
    </row>
    <row r="262" spans="1:14" x14ac:dyDescent="0.25">
      <c r="A262" s="3" t="str">
        <f>HYPERLINK("http://www.ncbi.nlm.nih.gov/gene/367","367")</f>
        <v>367</v>
      </c>
      <c r="B262" s="1" t="s">
        <v>26</v>
      </c>
      <c r="C262" t="s">
        <v>693</v>
      </c>
      <c r="D262">
        <v>92.3</v>
      </c>
      <c r="E262">
        <v>93.5</v>
      </c>
      <c r="F262">
        <v>97.6</v>
      </c>
      <c r="G262">
        <v>93.3</v>
      </c>
      <c r="H262">
        <v>126.9</v>
      </c>
      <c r="I262">
        <v>132.30000000000001</v>
      </c>
      <c r="J262">
        <v>100</v>
      </c>
      <c r="K262">
        <v>99.2</v>
      </c>
      <c r="L262" s="1" t="s">
        <v>26</v>
      </c>
      <c r="M262" t="s">
        <v>694</v>
      </c>
      <c r="N262">
        <v>2</v>
      </c>
    </row>
    <row r="263" spans="1:14" x14ac:dyDescent="0.25">
      <c r="A263" s="3" t="str">
        <f>HYPERLINK("http://www.ncbi.nlm.nih.gov/gene/372","372")</f>
        <v>372</v>
      </c>
      <c r="B263" s="1" t="s">
        <v>695</v>
      </c>
      <c r="C263" t="s">
        <v>696</v>
      </c>
      <c r="D263">
        <v>159.4</v>
      </c>
      <c r="E263">
        <v>167.4</v>
      </c>
      <c r="F263">
        <v>97</v>
      </c>
      <c r="G263">
        <v>96.6</v>
      </c>
      <c r="H263">
        <v>116.1</v>
      </c>
      <c r="I263">
        <v>119.9</v>
      </c>
      <c r="J263">
        <v>96.9</v>
      </c>
      <c r="K263">
        <v>96.6</v>
      </c>
      <c r="L263" s="1" t="s">
        <v>695</v>
      </c>
      <c r="M263" t="s">
        <v>697</v>
      </c>
      <c r="N263">
        <v>3</v>
      </c>
    </row>
    <row r="264" spans="1:14" x14ac:dyDescent="0.25">
      <c r="A264" s="3" t="str">
        <f>HYPERLINK("http://www.ncbi.nlm.nih.gov/gene/375","375")</f>
        <v>375</v>
      </c>
      <c r="B264" s="1" t="s">
        <v>698</v>
      </c>
      <c r="C264" t="s">
        <v>699</v>
      </c>
      <c r="D264">
        <v>160.6</v>
      </c>
      <c r="E264">
        <v>164.1</v>
      </c>
      <c r="F264">
        <v>100</v>
      </c>
      <c r="G264">
        <v>100</v>
      </c>
      <c r="H264">
        <v>171.2</v>
      </c>
      <c r="I264">
        <v>177.7</v>
      </c>
      <c r="J264">
        <v>100</v>
      </c>
      <c r="K264">
        <v>100</v>
      </c>
      <c r="L264" s="1" t="s">
        <v>698</v>
      </c>
      <c r="M264" t="s">
        <v>189</v>
      </c>
      <c r="N264">
        <v>2</v>
      </c>
    </row>
    <row r="265" spans="1:14" x14ac:dyDescent="0.25">
      <c r="A265" s="3" t="str">
        <f>HYPERLINK("http://www.ncbi.nlm.nih.gov/gene/10564","10564")</f>
        <v>10564</v>
      </c>
      <c r="B265" s="1" t="s">
        <v>700</v>
      </c>
      <c r="C265" t="s">
        <v>701</v>
      </c>
      <c r="D265">
        <v>140.6</v>
      </c>
      <c r="E265">
        <v>146.4</v>
      </c>
      <c r="F265">
        <v>99.9</v>
      </c>
      <c r="G265">
        <v>99.1</v>
      </c>
      <c r="H265">
        <v>128.6</v>
      </c>
      <c r="I265">
        <v>132.69999999999999</v>
      </c>
      <c r="J265">
        <v>100</v>
      </c>
      <c r="K265">
        <v>100</v>
      </c>
      <c r="L265" s="1" t="s">
        <v>700</v>
      </c>
      <c r="M265" t="s">
        <v>228</v>
      </c>
      <c r="N265">
        <v>3</v>
      </c>
    </row>
    <row r="266" spans="1:14" x14ac:dyDescent="0.25">
      <c r="A266" s="3" t="str">
        <f>HYPERLINK("http://www.ncbi.nlm.nih.gov/gene/383","383")</f>
        <v>383</v>
      </c>
      <c r="B266" s="1" t="s">
        <v>702</v>
      </c>
      <c r="D266">
        <v>149.1</v>
      </c>
      <c r="E266">
        <v>152.69999999999999</v>
      </c>
      <c r="F266">
        <v>92.9</v>
      </c>
      <c r="G266">
        <v>92.9</v>
      </c>
      <c r="H266">
        <v>123.3</v>
      </c>
      <c r="I266">
        <v>127.4</v>
      </c>
      <c r="J266">
        <v>92.9</v>
      </c>
      <c r="K266">
        <v>92.9</v>
      </c>
      <c r="L266" s="1" t="s">
        <v>702</v>
      </c>
      <c r="M266" t="s">
        <v>703</v>
      </c>
      <c r="N266">
        <v>5</v>
      </c>
    </row>
    <row r="267" spans="1:14" x14ac:dyDescent="0.25">
      <c r="A267" s="3" t="str">
        <f>HYPERLINK("http://www.ncbi.nlm.nih.gov/gene/23092","23092")</f>
        <v>23092</v>
      </c>
      <c r="B267" s="1" t="s">
        <v>704</v>
      </c>
      <c r="C267" t="s">
        <v>705</v>
      </c>
      <c r="D267">
        <v>131.4</v>
      </c>
      <c r="E267">
        <v>136.4</v>
      </c>
      <c r="F267">
        <v>90.4</v>
      </c>
      <c r="G267">
        <v>90.2</v>
      </c>
      <c r="H267">
        <v>137.4</v>
      </c>
      <c r="I267">
        <v>141.4</v>
      </c>
      <c r="J267">
        <v>100</v>
      </c>
      <c r="K267">
        <v>100</v>
      </c>
      <c r="L267" s="1" t="s">
        <v>704</v>
      </c>
      <c r="M267" t="s">
        <v>22</v>
      </c>
      <c r="N267">
        <v>1</v>
      </c>
    </row>
    <row r="268" spans="1:14" x14ac:dyDescent="0.25">
      <c r="A268" s="3" t="str">
        <f>HYPERLINK("http://www.ncbi.nlm.nih.gov/gene/9411","9411")</f>
        <v>9411</v>
      </c>
      <c r="B268" s="1" t="s">
        <v>706</v>
      </c>
      <c r="C268" t="s">
        <v>707</v>
      </c>
      <c r="D268">
        <v>162.19999999999999</v>
      </c>
      <c r="E268">
        <v>168.5</v>
      </c>
      <c r="F268">
        <v>99.5</v>
      </c>
      <c r="G268">
        <v>98</v>
      </c>
      <c r="H268">
        <v>135.5</v>
      </c>
      <c r="I268">
        <v>138.30000000000001</v>
      </c>
      <c r="J268">
        <v>100</v>
      </c>
      <c r="K268">
        <v>100</v>
      </c>
      <c r="L268" s="1" t="s">
        <v>706</v>
      </c>
      <c r="M268" t="s">
        <v>708</v>
      </c>
      <c r="N268">
        <v>3</v>
      </c>
    </row>
    <row r="269" spans="1:14" x14ac:dyDescent="0.25">
      <c r="A269" s="3" t="str">
        <f>HYPERLINK("http://www.ncbi.nlm.nih.gov/gene/57514","57514")</f>
        <v>57514</v>
      </c>
      <c r="B269" s="1" t="s">
        <v>709</v>
      </c>
      <c r="C269" t="s">
        <v>710</v>
      </c>
      <c r="D269">
        <v>164.6</v>
      </c>
      <c r="E269">
        <v>161.19999999999999</v>
      </c>
      <c r="F269">
        <v>99.9</v>
      </c>
      <c r="G269">
        <v>98.8</v>
      </c>
      <c r="H269">
        <v>146.80000000000001</v>
      </c>
      <c r="I269">
        <v>149.1</v>
      </c>
      <c r="J269">
        <v>100</v>
      </c>
      <c r="K269">
        <v>100</v>
      </c>
      <c r="L269" s="1" t="s">
        <v>709</v>
      </c>
      <c r="M269" t="s">
        <v>711</v>
      </c>
      <c r="N269">
        <v>5</v>
      </c>
    </row>
    <row r="270" spans="1:14" x14ac:dyDescent="0.25">
      <c r="A270" s="3" t="str">
        <f>HYPERLINK("http://www.ncbi.nlm.nih.gov/gene/396","396")</f>
        <v>396</v>
      </c>
      <c r="B270" s="1" t="s">
        <v>712</v>
      </c>
      <c r="C270" t="s">
        <v>713</v>
      </c>
      <c r="D270">
        <v>210.4</v>
      </c>
      <c r="E270">
        <v>211.1</v>
      </c>
      <c r="F270">
        <v>100</v>
      </c>
      <c r="G270">
        <v>100</v>
      </c>
      <c r="H270">
        <v>147.9</v>
      </c>
      <c r="I270">
        <v>150.80000000000001</v>
      </c>
      <c r="J270">
        <v>100</v>
      </c>
      <c r="K270">
        <v>100</v>
      </c>
      <c r="L270" s="1" t="s">
        <v>712</v>
      </c>
      <c r="M270" t="s">
        <v>357</v>
      </c>
      <c r="N270">
        <v>3</v>
      </c>
    </row>
    <row r="271" spans="1:14" x14ac:dyDescent="0.25">
      <c r="A271" s="3" t="str">
        <f>HYPERLINK("http://www.ncbi.nlm.nih.gov/gene/9138","9138")</f>
        <v>9138</v>
      </c>
      <c r="B271" s="1" t="s">
        <v>714</v>
      </c>
      <c r="C271" t="s">
        <v>715</v>
      </c>
      <c r="D271">
        <v>100.4</v>
      </c>
      <c r="E271">
        <v>101.7</v>
      </c>
      <c r="F271">
        <v>99.9</v>
      </c>
      <c r="G271">
        <v>98.4</v>
      </c>
      <c r="H271">
        <v>142.4</v>
      </c>
      <c r="I271">
        <v>145.5</v>
      </c>
      <c r="J271">
        <v>100</v>
      </c>
      <c r="K271">
        <v>100</v>
      </c>
      <c r="L271" s="1" t="s">
        <v>714</v>
      </c>
      <c r="M271" t="s">
        <v>502</v>
      </c>
      <c r="N271">
        <v>2</v>
      </c>
    </row>
    <row r="272" spans="1:14" x14ac:dyDescent="0.25">
      <c r="A272" s="3" t="str">
        <f>HYPERLINK("http://www.ncbi.nlm.nih.gov/gene/9639","9639")</f>
        <v>9639</v>
      </c>
      <c r="B272" s="1" t="s">
        <v>716</v>
      </c>
      <c r="C272" t="s">
        <v>717</v>
      </c>
      <c r="D272">
        <v>126</v>
      </c>
      <c r="E272">
        <v>132.1</v>
      </c>
      <c r="F272">
        <v>99.8</v>
      </c>
      <c r="G272">
        <v>98</v>
      </c>
      <c r="H272">
        <v>193</v>
      </c>
      <c r="I272">
        <v>198.5</v>
      </c>
      <c r="J272">
        <v>100</v>
      </c>
      <c r="K272">
        <v>100</v>
      </c>
      <c r="L272" s="1" t="s">
        <v>716</v>
      </c>
      <c r="M272" t="s">
        <v>718</v>
      </c>
      <c r="N272">
        <v>2</v>
      </c>
    </row>
    <row r="273" spans="1:14" x14ac:dyDescent="0.25">
      <c r="A273" s="3" t="str">
        <f>HYPERLINK("http://www.ncbi.nlm.nih.gov/gene/23370","23370")</f>
        <v>23370</v>
      </c>
      <c r="B273" s="1" t="s">
        <v>719</v>
      </c>
      <c r="C273" t="s">
        <v>720</v>
      </c>
      <c r="D273">
        <v>149.5</v>
      </c>
      <c r="E273">
        <v>151.9</v>
      </c>
      <c r="F273">
        <v>95.4</v>
      </c>
      <c r="G273">
        <v>92.3</v>
      </c>
      <c r="H273">
        <v>134.5</v>
      </c>
      <c r="I273">
        <v>136.69999999999999</v>
      </c>
      <c r="J273">
        <v>100</v>
      </c>
      <c r="K273">
        <v>100</v>
      </c>
      <c r="L273" s="1" t="s">
        <v>719</v>
      </c>
      <c r="M273" t="s">
        <v>56</v>
      </c>
      <c r="N273">
        <v>3</v>
      </c>
    </row>
    <row r="274" spans="1:14" x14ac:dyDescent="0.25">
      <c r="A274" s="3" t="str">
        <f>HYPERLINK("http://www.ncbi.nlm.nih.gov/gene/9181","9181")</f>
        <v>9181</v>
      </c>
      <c r="B274" s="1" t="s">
        <v>721</v>
      </c>
      <c r="C274" t="s">
        <v>722</v>
      </c>
      <c r="D274">
        <v>111.5</v>
      </c>
      <c r="E274">
        <v>115.2</v>
      </c>
      <c r="F274">
        <v>93</v>
      </c>
      <c r="G274">
        <v>93</v>
      </c>
      <c r="H274">
        <v>126.9</v>
      </c>
      <c r="I274">
        <v>129.69999999999999</v>
      </c>
      <c r="J274">
        <v>100</v>
      </c>
      <c r="K274">
        <v>100</v>
      </c>
      <c r="L274" s="1" t="s">
        <v>721</v>
      </c>
      <c r="M274" t="s">
        <v>53</v>
      </c>
      <c r="N274">
        <v>2</v>
      </c>
    </row>
    <row r="275" spans="1:14" x14ac:dyDescent="0.25">
      <c r="A275" s="3" t="str">
        <f>HYPERLINK("http://www.ncbi.nlm.nih.gov/gene/64283","64283")</f>
        <v>64283</v>
      </c>
      <c r="B275" s="1" t="s">
        <v>723</v>
      </c>
      <c r="C275" t="s">
        <v>724</v>
      </c>
      <c r="D275">
        <v>116.1</v>
      </c>
      <c r="E275">
        <v>117.2</v>
      </c>
      <c r="F275">
        <v>99.2</v>
      </c>
      <c r="G275">
        <v>94.4</v>
      </c>
      <c r="H275">
        <v>124.6</v>
      </c>
      <c r="I275">
        <v>127.9</v>
      </c>
      <c r="J275">
        <v>100</v>
      </c>
      <c r="K275">
        <v>100</v>
      </c>
      <c r="L275" s="1" t="s">
        <v>723</v>
      </c>
      <c r="M275" t="s">
        <v>725</v>
      </c>
      <c r="N275">
        <v>2</v>
      </c>
    </row>
    <row r="276" spans="1:14" x14ac:dyDescent="0.25">
      <c r="A276" s="3" t="str">
        <f>HYPERLINK("http://www.ncbi.nlm.nih.gov/gene/9459","9459")</f>
        <v>9459</v>
      </c>
      <c r="B276" s="1" t="s">
        <v>726</v>
      </c>
      <c r="C276" t="s">
        <v>727</v>
      </c>
      <c r="D276">
        <v>145.9</v>
      </c>
      <c r="E276">
        <v>150.30000000000001</v>
      </c>
      <c r="F276">
        <v>99.5</v>
      </c>
      <c r="G276">
        <v>96.2</v>
      </c>
      <c r="H276">
        <v>115.4</v>
      </c>
      <c r="I276">
        <v>118.5</v>
      </c>
      <c r="J276">
        <v>100</v>
      </c>
      <c r="K276">
        <v>99.9</v>
      </c>
      <c r="L276" s="1" t="s">
        <v>726</v>
      </c>
      <c r="M276" t="s">
        <v>728</v>
      </c>
      <c r="N276">
        <v>2</v>
      </c>
    </row>
    <row r="277" spans="1:14" x14ac:dyDescent="0.25">
      <c r="A277" s="3" t="str">
        <f>HYPERLINK("http://www.ncbi.nlm.nih.gov/gene/23229","23229")</f>
        <v>23229</v>
      </c>
      <c r="B277" s="1" t="s">
        <v>729</v>
      </c>
      <c r="C277" t="s">
        <v>730</v>
      </c>
      <c r="D277">
        <v>57.2</v>
      </c>
      <c r="E277">
        <v>59.3</v>
      </c>
      <c r="F277">
        <v>76.5</v>
      </c>
      <c r="G277">
        <v>74.099999999999994</v>
      </c>
      <c r="H277">
        <v>116.4</v>
      </c>
      <c r="I277">
        <v>119.8</v>
      </c>
      <c r="J277">
        <v>97.2</v>
      </c>
      <c r="K277">
        <v>97.1</v>
      </c>
      <c r="L277" s="1" t="s">
        <v>729</v>
      </c>
      <c r="M277" t="s">
        <v>731</v>
      </c>
      <c r="N277">
        <v>3</v>
      </c>
    </row>
    <row r="278" spans="1:14" x14ac:dyDescent="0.25">
      <c r="A278" s="3" t="str">
        <f>HYPERLINK("http://www.ncbi.nlm.nih.gov/gene/8289","8289")</f>
        <v>8289</v>
      </c>
      <c r="B278" s="1" t="s">
        <v>732</v>
      </c>
      <c r="C278" t="s">
        <v>733</v>
      </c>
      <c r="D278">
        <v>153.80000000000001</v>
      </c>
      <c r="E278">
        <v>146.69999999999999</v>
      </c>
      <c r="F278">
        <v>98.1</v>
      </c>
      <c r="G278">
        <v>96.4</v>
      </c>
      <c r="H278">
        <v>145.6</v>
      </c>
      <c r="I278">
        <v>147.4</v>
      </c>
      <c r="J278">
        <v>100</v>
      </c>
      <c r="K278">
        <v>100</v>
      </c>
      <c r="L278" s="1" t="s">
        <v>732</v>
      </c>
      <c r="M278" t="s">
        <v>419</v>
      </c>
      <c r="N278">
        <v>3</v>
      </c>
    </row>
    <row r="279" spans="1:14" x14ac:dyDescent="0.25">
      <c r="A279" s="3" t="str">
        <f>HYPERLINK("http://www.ncbi.nlm.nih.gov/gene/57492","57492")</f>
        <v>57492</v>
      </c>
      <c r="B279" s="1" t="s">
        <v>734</v>
      </c>
      <c r="C279" t="s">
        <v>735</v>
      </c>
      <c r="D279">
        <v>152.6</v>
      </c>
      <c r="E279">
        <v>153.6</v>
      </c>
      <c r="F279">
        <v>96.2</v>
      </c>
      <c r="G279">
        <v>95.2</v>
      </c>
      <c r="H279">
        <v>134.6</v>
      </c>
      <c r="I279">
        <v>134.5</v>
      </c>
      <c r="J279">
        <v>97.9</v>
      </c>
      <c r="K279">
        <v>96.7</v>
      </c>
      <c r="L279" s="1" t="s">
        <v>734</v>
      </c>
      <c r="M279" t="s">
        <v>736</v>
      </c>
      <c r="N279">
        <v>5</v>
      </c>
    </row>
    <row r="280" spans="1:14" x14ac:dyDescent="0.25">
      <c r="A280" s="3" t="str">
        <f>HYPERLINK("http://www.ncbi.nlm.nih.gov/gene/196528","196528")</f>
        <v>196528</v>
      </c>
      <c r="B280" s="1" t="s">
        <v>737</v>
      </c>
      <c r="C280" t="s">
        <v>738</v>
      </c>
      <c r="D280">
        <v>188.8</v>
      </c>
      <c r="E280">
        <v>182.9</v>
      </c>
      <c r="F280">
        <v>99.8</v>
      </c>
      <c r="G280">
        <v>98.5</v>
      </c>
      <c r="H280">
        <v>148.5</v>
      </c>
      <c r="I280">
        <v>149.30000000000001</v>
      </c>
      <c r="J280">
        <v>100</v>
      </c>
      <c r="K280">
        <v>100</v>
      </c>
      <c r="L280" s="1" t="s">
        <v>737</v>
      </c>
      <c r="M280" t="s">
        <v>189</v>
      </c>
      <c r="N280">
        <v>2</v>
      </c>
    </row>
    <row r="281" spans="1:14" x14ac:dyDescent="0.25">
      <c r="A281" s="3" t="str">
        <f>HYPERLINK("http://www.ncbi.nlm.nih.gov/gene/25820","25820")</f>
        <v>25820</v>
      </c>
      <c r="B281" s="1" t="s">
        <v>739</v>
      </c>
      <c r="C281" t="s">
        <v>740</v>
      </c>
      <c r="D281">
        <v>125.2</v>
      </c>
      <c r="E281">
        <v>121.8</v>
      </c>
      <c r="F281">
        <v>100</v>
      </c>
      <c r="G281">
        <v>99.5</v>
      </c>
      <c r="H281">
        <v>130.1</v>
      </c>
      <c r="I281">
        <v>133.5</v>
      </c>
      <c r="J281">
        <v>100</v>
      </c>
      <c r="K281">
        <v>100</v>
      </c>
      <c r="L281" s="1" t="s">
        <v>739</v>
      </c>
      <c r="M281" t="s">
        <v>741</v>
      </c>
      <c r="N281">
        <v>3</v>
      </c>
    </row>
    <row r="282" spans="1:14" x14ac:dyDescent="0.25">
      <c r="A282" s="3" t="str">
        <f>HYPERLINK("http://www.ncbi.nlm.nih.gov/gene/200894","200894")</f>
        <v>200894</v>
      </c>
      <c r="B282" s="1" t="s">
        <v>742</v>
      </c>
      <c r="C282" t="s">
        <v>743</v>
      </c>
      <c r="D282">
        <v>102.7</v>
      </c>
      <c r="E282">
        <v>108.1</v>
      </c>
      <c r="F282">
        <v>100</v>
      </c>
      <c r="G282">
        <v>99.2</v>
      </c>
      <c r="H282">
        <v>117.5</v>
      </c>
      <c r="I282">
        <v>121.3</v>
      </c>
      <c r="J282">
        <v>100</v>
      </c>
      <c r="K282">
        <v>100</v>
      </c>
      <c r="L282" s="1" t="s">
        <v>742</v>
      </c>
      <c r="M282" t="s">
        <v>372</v>
      </c>
      <c r="N282">
        <v>6</v>
      </c>
    </row>
    <row r="283" spans="1:14" x14ac:dyDescent="0.25">
      <c r="A283" s="3" t="str">
        <f>HYPERLINK("http://www.ncbi.nlm.nih.gov/gene/402","402")</f>
        <v>402</v>
      </c>
      <c r="B283" s="1" t="s">
        <v>744</v>
      </c>
      <c r="C283" t="s">
        <v>745</v>
      </c>
      <c r="D283">
        <v>129.69999999999999</v>
      </c>
      <c r="E283">
        <v>133.69999999999999</v>
      </c>
      <c r="F283">
        <v>100</v>
      </c>
      <c r="G283">
        <v>100</v>
      </c>
      <c r="H283">
        <v>130.69999999999999</v>
      </c>
      <c r="I283">
        <v>133.30000000000001</v>
      </c>
      <c r="J283">
        <v>100</v>
      </c>
      <c r="K283">
        <v>100</v>
      </c>
      <c r="L283" s="1" t="s">
        <v>744</v>
      </c>
      <c r="M283" t="s">
        <v>746</v>
      </c>
      <c r="N283">
        <v>3</v>
      </c>
    </row>
    <row r="284" spans="1:14" x14ac:dyDescent="0.25">
      <c r="A284" s="3" t="str">
        <f>HYPERLINK("http://www.ncbi.nlm.nih.gov/gene/23568","23568")</f>
        <v>23568</v>
      </c>
      <c r="B284" s="1" t="s">
        <v>747</v>
      </c>
      <c r="C284" t="s">
        <v>748</v>
      </c>
      <c r="D284">
        <v>82.3</v>
      </c>
      <c r="E284">
        <v>81.900000000000006</v>
      </c>
      <c r="F284">
        <v>95.9</v>
      </c>
      <c r="G284">
        <v>88.3</v>
      </c>
      <c r="H284">
        <v>124.8</v>
      </c>
      <c r="I284">
        <v>127.5</v>
      </c>
      <c r="J284">
        <v>100</v>
      </c>
      <c r="K284">
        <v>100</v>
      </c>
      <c r="L284" s="1" t="s">
        <v>747</v>
      </c>
      <c r="M284" t="s">
        <v>56</v>
      </c>
      <c r="N284">
        <v>3</v>
      </c>
    </row>
    <row r="285" spans="1:14" x14ac:dyDescent="0.25">
      <c r="A285" s="3" t="str">
        <f>HYPERLINK("http://www.ncbi.nlm.nih.gov/gene/403","403")</f>
        <v>403</v>
      </c>
      <c r="B285" s="1" t="s">
        <v>749</v>
      </c>
      <c r="C285" t="s">
        <v>750</v>
      </c>
      <c r="D285">
        <v>85.2</v>
      </c>
      <c r="E285">
        <v>89.4</v>
      </c>
      <c r="F285">
        <v>100</v>
      </c>
      <c r="G285">
        <v>98.4</v>
      </c>
      <c r="H285">
        <v>132.19999999999999</v>
      </c>
      <c r="I285">
        <v>134.9</v>
      </c>
      <c r="J285">
        <v>100</v>
      </c>
      <c r="K285">
        <v>100</v>
      </c>
      <c r="L285" s="1" t="s">
        <v>749</v>
      </c>
      <c r="M285" t="s">
        <v>751</v>
      </c>
      <c r="N285">
        <v>4</v>
      </c>
    </row>
    <row r="286" spans="1:14" x14ac:dyDescent="0.25">
      <c r="A286" s="3" t="str">
        <f>HYPERLINK("http://www.ncbi.nlm.nih.gov/gene/84100","84100")</f>
        <v>84100</v>
      </c>
      <c r="B286" s="1" t="s">
        <v>752</v>
      </c>
      <c r="C286" t="s">
        <v>753</v>
      </c>
      <c r="D286">
        <v>124.2</v>
      </c>
      <c r="E286">
        <v>127.8</v>
      </c>
      <c r="F286">
        <v>99.9</v>
      </c>
      <c r="G286">
        <v>98.6</v>
      </c>
      <c r="H286">
        <v>123.5</v>
      </c>
      <c r="I286">
        <v>125.7</v>
      </c>
      <c r="J286">
        <v>100</v>
      </c>
      <c r="K286">
        <v>100</v>
      </c>
      <c r="L286" s="1" t="s">
        <v>752</v>
      </c>
      <c r="M286" t="s">
        <v>372</v>
      </c>
      <c r="N286">
        <v>6</v>
      </c>
    </row>
    <row r="287" spans="1:14" x14ac:dyDescent="0.25">
      <c r="A287" s="3" t="str">
        <f>HYPERLINK("http://www.ncbi.nlm.nih.gov/gene/23204","23204")</f>
        <v>23204</v>
      </c>
      <c r="B287" s="1" t="s">
        <v>754</v>
      </c>
      <c r="C287" t="s">
        <v>755</v>
      </c>
      <c r="D287">
        <v>82.9</v>
      </c>
      <c r="E287">
        <v>85.4</v>
      </c>
      <c r="F287">
        <v>99.4</v>
      </c>
      <c r="G287">
        <v>92.6</v>
      </c>
      <c r="H287">
        <v>121.7</v>
      </c>
      <c r="I287">
        <v>124.5</v>
      </c>
      <c r="J287">
        <v>100</v>
      </c>
      <c r="K287">
        <v>100</v>
      </c>
      <c r="L287" s="1" t="s">
        <v>754</v>
      </c>
      <c r="M287" t="s">
        <v>53</v>
      </c>
      <c r="N287">
        <v>2</v>
      </c>
    </row>
    <row r="288" spans="1:14" x14ac:dyDescent="0.25">
      <c r="A288" s="3" t="str">
        <f>HYPERLINK("http://www.ncbi.nlm.nih.gov/gene/84071","84071")</f>
        <v>84071</v>
      </c>
      <c r="B288" s="1" t="s">
        <v>756</v>
      </c>
      <c r="C288" t="s">
        <v>757</v>
      </c>
      <c r="D288">
        <v>151.30000000000001</v>
      </c>
      <c r="E288">
        <v>155.6</v>
      </c>
      <c r="F288">
        <v>100</v>
      </c>
      <c r="G288">
        <v>99.2</v>
      </c>
      <c r="H288">
        <v>128.69999999999999</v>
      </c>
      <c r="I288">
        <v>132.9</v>
      </c>
      <c r="J288">
        <v>100</v>
      </c>
      <c r="K288">
        <v>100</v>
      </c>
      <c r="L288" s="1" t="s">
        <v>756</v>
      </c>
      <c r="M288" t="s">
        <v>59</v>
      </c>
      <c r="N288">
        <v>1</v>
      </c>
    </row>
    <row r="289" spans="1:14" x14ac:dyDescent="0.25">
      <c r="A289" s="3" t="str">
        <f>HYPERLINK("http://www.ncbi.nlm.nih.gov/gene/79798","79798")</f>
        <v>79798</v>
      </c>
      <c r="B289" s="1" t="s">
        <v>758</v>
      </c>
      <c r="C289" t="s">
        <v>759</v>
      </c>
      <c r="D289">
        <v>156.30000000000001</v>
      </c>
      <c r="E289">
        <v>153.80000000000001</v>
      </c>
      <c r="F289">
        <v>100</v>
      </c>
      <c r="G289">
        <v>99.4</v>
      </c>
      <c r="H289">
        <v>166</v>
      </c>
      <c r="I289">
        <v>168.9</v>
      </c>
      <c r="J289">
        <v>100</v>
      </c>
      <c r="K289">
        <v>100</v>
      </c>
      <c r="L289" s="1" t="s">
        <v>758</v>
      </c>
      <c r="M289" t="s">
        <v>760</v>
      </c>
      <c r="N289">
        <v>3</v>
      </c>
    </row>
    <row r="290" spans="1:14" x14ac:dyDescent="0.25">
      <c r="A290" s="3" t="str">
        <f>HYPERLINK("http://www.ncbi.nlm.nih.gov/gene/80210","80210")</f>
        <v>80210</v>
      </c>
      <c r="B290" s="1" t="s">
        <v>761</v>
      </c>
      <c r="C290" t="s">
        <v>762</v>
      </c>
      <c r="D290">
        <v>148</v>
      </c>
      <c r="E290">
        <v>152.19999999999999</v>
      </c>
      <c r="F290">
        <v>100</v>
      </c>
      <c r="G290">
        <v>99.8</v>
      </c>
      <c r="H290">
        <v>137.80000000000001</v>
      </c>
      <c r="I290">
        <v>141</v>
      </c>
      <c r="J290">
        <v>100</v>
      </c>
      <c r="K290">
        <v>100</v>
      </c>
      <c r="L290" s="1" t="s">
        <v>761</v>
      </c>
      <c r="M290" t="s">
        <v>763</v>
      </c>
      <c r="N290">
        <v>4</v>
      </c>
    </row>
    <row r="291" spans="1:14" x14ac:dyDescent="0.25">
      <c r="A291" s="3" t="str">
        <f>HYPERLINK("http://www.ncbi.nlm.nih.gov/gene/9915","9915")</f>
        <v>9915</v>
      </c>
      <c r="B291" s="1" t="s">
        <v>764</v>
      </c>
      <c r="C291" t="s">
        <v>765</v>
      </c>
      <c r="D291">
        <v>141</v>
      </c>
      <c r="E291">
        <v>147.30000000000001</v>
      </c>
      <c r="F291">
        <v>100</v>
      </c>
      <c r="G291">
        <v>100</v>
      </c>
      <c r="H291">
        <v>141.1</v>
      </c>
      <c r="I291">
        <v>145.1</v>
      </c>
      <c r="J291">
        <v>100</v>
      </c>
      <c r="K291">
        <v>99.6</v>
      </c>
      <c r="L291" s="1" t="s">
        <v>764</v>
      </c>
      <c r="M291" t="s">
        <v>766</v>
      </c>
      <c r="N291">
        <v>3</v>
      </c>
    </row>
    <row r="292" spans="1:14" x14ac:dyDescent="0.25">
      <c r="A292" s="3" t="str">
        <f>HYPERLINK("http://www.ncbi.nlm.nih.gov/gene/10095","10095")</f>
        <v>10095</v>
      </c>
      <c r="B292" s="1" t="s">
        <v>767</v>
      </c>
      <c r="C292" t="s">
        <v>768</v>
      </c>
      <c r="D292">
        <v>126.8</v>
      </c>
      <c r="E292">
        <v>131.69999999999999</v>
      </c>
      <c r="F292">
        <v>100</v>
      </c>
      <c r="G292">
        <v>100</v>
      </c>
      <c r="H292">
        <v>119.1</v>
      </c>
      <c r="I292">
        <v>122.4</v>
      </c>
      <c r="J292">
        <v>100</v>
      </c>
      <c r="K292">
        <v>100</v>
      </c>
      <c r="L292" s="1" t="s">
        <v>767</v>
      </c>
      <c r="M292" t="s">
        <v>769</v>
      </c>
      <c r="N292">
        <v>4</v>
      </c>
    </row>
    <row r="293" spans="1:14" x14ac:dyDescent="0.25">
      <c r="A293" s="3" t="str">
        <f>HYPERLINK("http://www.ncbi.nlm.nih.gov/gene/407","407")</f>
        <v>407</v>
      </c>
      <c r="B293" s="1" t="s">
        <v>770</v>
      </c>
      <c r="C293" t="s">
        <v>771</v>
      </c>
      <c r="D293">
        <v>100.8</v>
      </c>
      <c r="E293">
        <v>102.2</v>
      </c>
      <c r="F293">
        <v>100</v>
      </c>
      <c r="G293">
        <v>99.8</v>
      </c>
      <c r="H293">
        <v>130.1</v>
      </c>
      <c r="I293">
        <v>132.6</v>
      </c>
      <c r="J293">
        <v>100</v>
      </c>
      <c r="K293">
        <v>100</v>
      </c>
      <c r="L293" s="1" t="s">
        <v>770</v>
      </c>
      <c r="M293" t="s">
        <v>772</v>
      </c>
      <c r="N293">
        <v>2</v>
      </c>
    </row>
    <row r="294" spans="1:14" x14ac:dyDescent="0.25">
      <c r="A294" s="3" t="str">
        <f>HYPERLINK("http://www.ncbi.nlm.nih.gov/gene/410","410")</f>
        <v>410</v>
      </c>
      <c r="B294" s="1" t="s">
        <v>773</v>
      </c>
      <c r="C294" t="s">
        <v>774</v>
      </c>
      <c r="D294">
        <v>121</v>
      </c>
      <c r="E294">
        <v>126.4</v>
      </c>
      <c r="F294">
        <v>100</v>
      </c>
      <c r="G294">
        <v>99.8</v>
      </c>
      <c r="H294">
        <v>156.80000000000001</v>
      </c>
      <c r="I294">
        <v>160.69999999999999</v>
      </c>
      <c r="J294">
        <v>100</v>
      </c>
      <c r="K294">
        <v>100</v>
      </c>
      <c r="L294" s="1" t="s">
        <v>773</v>
      </c>
      <c r="M294" t="s">
        <v>775</v>
      </c>
      <c r="N294">
        <v>6</v>
      </c>
    </row>
    <row r="295" spans="1:14" x14ac:dyDescent="0.25">
      <c r="A295" s="3" t="str">
        <f>HYPERLINK("http://www.ncbi.nlm.nih.gov/gene/411","411")</f>
        <v>411</v>
      </c>
      <c r="B295" s="1" t="s">
        <v>776</v>
      </c>
      <c r="C295" t="s">
        <v>777</v>
      </c>
      <c r="D295">
        <v>119.7</v>
      </c>
      <c r="E295">
        <v>126.7</v>
      </c>
      <c r="F295">
        <v>97</v>
      </c>
      <c r="G295">
        <v>88.7</v>
      </c>
      <c r="H295">
        <v>125.5</v>
      </c>
      <c r="I295">
        <v>128.9</v>
      </c>
      <c r="J295">
        <v>100</v>
      </c>
      <c r="K295">
        <v>100</v>
      </c>
      <c r="L295" s="1" t="s">
        <v>776</v>
      </c>
      <c r="M295" t="s">
        <v>351</v>
      </c>
      <c r="N295">
        <v>4</v>
      </c>
    </row>
    <row r="296" spans="1:14" x14ac:dyDescent="0.25">
      <c r="A296" s="3" t="str">
        <f>HYPERLINK("http://www.ncbi.nlm.nih.gov/gene/22901","22901")</f>
        <v>22901</v>
      </c>
      <c r="B296" s="1" t="s">
        <v>778</v>
      </c>
      <c r="C296" t="s">
        <v>779</v>
      </c>
      <c r="D296">
        <v>124.6</v>
      </c>
      <c r="E296">
        <v>132.9</v>
      </c>
      <c r="F296">
        <v>100</v>
      </c>
      <c r="G296">
        <v>99.5</v>
      </c>
      <c r="H296">
        <v>127.8</v>
      </c>
      <c r="I296">
        <v>131.69999999999999</v>
      </c>
      <c r="J296">
        <v>100</v>
      </c>
      <c r="K296">
        <v>100</v>
      </c>
      <c r="L296" s="1" t="s">
        <v>778</v>
      </c>
      <c r="M296" t="s">
        <v>780</v>
      </c>
      <c r="N296">
        <v>4</v>
      </c>
    </row>
    <row r="297" spans="1:14" x14ac:dyDescent="0.25">
      <c r="A297" s="3" t="str">
        <f>HYPERLINK("http://www.ncbi.nlm.nih.gov/gene/415","415")</f>
        <v>415</v>
      </c>
      <c r="B297" s="1" t="s">
        <v>781</v>
      </c>
      <c r="C297" t="s">
        <v>782</v>
      </c>
      <c r="D297">
        <v>99.6</v>
      </c>
      <c r="E297">
        <v>102.6</v>
      </c>
      <c r="F297">
        <v>99</v>
      </c>
      <c r="G297">
        <v>93</v>
      </c>
      <c r="H297">
        <v>132.4</v>
      </c>
      <c r="I297">
        <v>135.5</v>
      </c>
      <c r="J297">
        <v>100</v>
      </c>
      <c r="K297">
        <v>99.9</v>
      </c>
      <c r="L297" s="1" t="s">
        <v>781</v>
      </c>
      <c r="M297" t="s">
        <v>783</v>
      </c>
      <c r="N297">
        <v>3</v>
      </c>
    </row>
    <row r="298" spans="1:14" x14ac:dyDescent="0.25">
      <c r="A298" s="3" t="str">
        <f>HYPERLINK("http://www.ncbi.nlm.nih.gov/gene/64801","64801")</f>
        <v>64801</v>
      </c>
      <c r="B298" s="1" t="s">
        <v>784</v>
      </c>
      <c r="C298" t="s">
        <v>785</v>
      </c>
      <c r="D298">
        <v>123.9</v>
      </c>
      <c r="E298">
        <v>128.4</v>
      </c>
      <c r="F298">
        <v>100</v>
      </c>
      <c r="G298">
        <v>99.9</v>
      </c>
      <c r="H298">
        <v>138.80000000000001</v>
      </c>
      <c r="I298">
        <v>145</v>
      </c>
      <c r="J298">
        <v>100</v>
      </c>
      <c r="K298">
        <v>100</v>
      </c>
      <c r="L298" s="1" t="s">
        <v>784</v>
      </c>
      <c r="M298" t="s">
        <v>228</v>
      </c>
      <c r="N298">
        <v>3</v>
      </c>
    </row>
    <row r="299" spans="1:14" x14ac:dyDescent="0.25">
      <c r="A299" s="3" t="str">
        <f>HYPERLINK("http://www.ncbi.nlm.nih.gov/gene/170302","170302")</f>
        <v>170302</v>
      </c>
      <c r="B299" s="1" t="s">
        <v>786</v>
      </c>
      <c r="C299" t="s">
        <v>787</v>
      </c>
      <c r="D299">
        <v>38.4</v>
      </c>
      <c r="E299">
        <v>38.6</v>
      </c>
      <c r="F299">
        <v>81</v>
      </c>
      <c r="G299">
        <v>64</v>
      </c>
      <c r="H299">
        <v>97.2</v>
      </c>
      <c r="I299">
        <v>89.7</v>
      </c>
      <c r="J299">
        <v>91.5</v>
      </c>
      <c r="K299">
        <v>85.7</v>
      </c>
      <c r="L299" s="1" t="s">
        <v>786</v>
      </c>
      <c r="M299" t="s">
        <v>788</v>
      </c>
      <c r="N299">
        <v>5</v>
      </c>
    </row>
    <row r="300" spans="1:14" x14ac:dyDescent="0.25">
      <c r="A300" s="3" t="str">
        <f>HYPERLINK("http://www.ncbi.nlm.nih.gov/gene/427","427")</f>
        <v>427</v>
      </c>
      <c r="B300" s="1" t="s">
        <v>789</v>
      </c>
      <c r="C300" t="s">
        <v>790</v>
      </c>
      <c r="D300">
        <v>152.30000000000001</v>
      </c>
      <c r="E300">
        <v>158.19999999999999</v>
      </c>
      <c r="F300">
        <v>99.7</v>
      </c>
      <c r="G300">
        <v>98.6</v>
      </c>
      <c r="H300">
        <v>120.5</v>
      </c>
      <c r="I300">
        <v>122.5</v>
      </c>
      <c r="J300">
        <v>100</v>
      </c>
      <c r="K300">
        <v>100</v>
      </c>
      <c r="L300" s="1" t="s">
        <v>789</v>
      </c>
      <c r="M300" t="s">
        <v>214</v>
      </c>
      <c r="N300">
        <v>5</v>
      </c>
    </row>
    <row r="301" spans="1:14" x14ac:dyDescent="0.25">
      <c r="A301" s="3" t="str">
        <f>HYPERLINK("http://www.ncbi.nlm.nih.gov/gene/136371","136371")</f>
        <v>136371</v>
      </c>
      <c r="B301" s="1" t="s">
        <v>791</v>
      </c>
      <c r="C301" t="s">
        <v>792</v>
      </c>
      <c r="D301">
        <v>113</v>
      </c>
      <c r="E301">
        <v>97.2</v>
      </c>
      <c r="F301">
        <v>99.4</v>
      </c>
      <c r="G301">
        <v>95.7</v>
      </c>
      <c r="H301">
        <v>144.4</v>
      </c>
      <c r="I301">
        <v>148</v>
      </c>
      <c r="J301">
        <v>100</v>
      </c>
      <c r="K301">
        <v>100</v>
      </c>
      <c r="L301" s="1" t="s">
        <v>791</v>
      </c>
      <c r="M301" t="s">
        <v>793</v>
      </c>
      <c r="N301">
        <v>2</v>
      </c>
    </row>
    <row r="302" spans="1:14" x14ac:dyDescent="0.25">
      <c r="A302" s="3" t="str">
        <f>HYPERLINK("http://www.ncbi.nlm.nih.gov/gene/51008","51008")</f>
        <v>51008</v>
      </c>
      <c r="B302" s="1" t="s">
        <v>794</v>
      </c>
      <c r="C302" t="s">
        <v>795</v>
      </c>
      <c r="D302">
        <v>147.9</v>
      </c>
      <c r="E302">
        <v>151.19999999999999</v>
      </c>
      <c r="F302">
        <v>93.4</v>
      </c>
      <c r="G302">
        <v>90.3</v>
      </c>
      <c r="H302">
        <v>112.6</v>
      </c>
      <c r="I302">
        <v>115.3</v>
      </c>
      <c r="J302">
        <v>87.1</v>
      </c>
      <c r="K302">
        <v>87.1</v>
      </c>
      <c r="L302" s="1" t="s">
        <v>794</v>
      </c>
      <c r="M302" t="s">
        <v>280</v>
      </c>
      <c r="N302">
        <v>3</v>
      </c>
    </row>
    <row r="303" spans="1:14" x14ac:dyDescent="0.25">
      <c r="A303" s="3" t="str">
        <f>HYPERLINK("http://www.ncbi.nlm.nih.gov/gene/429","429")</f>
        <v>429</v>
      </c>
      <c r="B303" s="1" t="s">
        <v>796</v>
      </c>
      <c r="C303" t="s">
        <v>797</v>
      </c>
      <c r="D303">
        <v>158.69999999999999</v>
      </c>
      <c r="E303">
        <v>149.5</v>
      </c>
      <c r="F303">
        <v>100</v>
      </c>
      <c r="G303">
        <v>97.6</v>
      </c>
      <c r="H303">
        <v>141.1</v>
      </c>
      <c r="I303">
        <v>144</v>
      </c>
      <c r="J303">
        <v>100</v>
      </c>
      <c r="K303">
        <v>100</v>
      </c>
      <c r="L303" s="1" t="s">
        <v>796</v>
      </c>
      <c r="M303" t="s">
        <v>285</v>
      </c>
      <c r="N303">
        <v>1</v>
      </c>
    </row>
    <row r="304" spans="1:14" x14ac:dyDescent="0.25">
      <c r="A304" s="3" t="str">
        <f>HYPERLINK("http://www.ncbi.nlm.nih.gov/gene/55870","55870")</f>
        <v>55870</v>
      </c>
      <c r="B304" s="1" t="s">
        <v>798</v>
      </c>
      <c r="C304" t="s">
        <v>799</v>
      </c>
      <c r="D304">
        <v>179.5</v>
      </c>
      <c r="E304">
        <v>174.4</v>
      </c>
      <c r="F304">
        <v>98.7</v>
      </c>
      <c r="G304">
        <v>98.6</v>
      </c>
      <c r="H304">
        <v>140.1</v>
      </c>
      <c r="I304">
        <v>140.5</v>
      </c>
      <c r="J304">
        <v>98.7</v>
      </c>
      <c r="K304">
        <v>98.7</v>
      </c>
      <c r="L304" s="1" t="s">
        <v>798</v>
      </c>
      <c r="M304" t="s">
        <v>189</v>
      </c>
      <c r="N304">
        <v>2</v>
      </c>
    </row>
    <row r="305" spans="1:14" x14ac:dyDescent="0.25">
      <c r="A305" s="3" t="str">
        <f>HYPERLINK("http://www.ncbi.nlm.nih.gov/gene/434","434")</f>
        <v>434</v>
      </c>
      <c r="B305" s="1" t="s">
        <v>800</v>
      </c>
      <c r="C305" t="s">
        <v>801</v>
      </c>
      <c r="D305">
        <v>131.80000000000001</v>
      </c>
      <c r="E305">
        <v>136.9</v>
      </c>
      <c r="F305">
        <v>100</v>
      </c>
      <c r="G305">
        <v>100</v>
      </c>
      <c r="H305">
        <v>181.3</v>
      </c>
      <c r="I305">
        <v>193</v>
      </c>
      <c r="J305">
        <v>100</v>
      </c>
      <c r="K305">
        <v>100</v>
      </c>
      <c r="L305" s="1" t="s">
        <v>800</v>
      </c>
      <c r="M305" t="s">
        <v>29</v>
      </c>
      <c r="N305">
        <v>2</v>
      </c>
    </row>
    <row r="306" spans="1:14" x14ac:dyDescent="0.25">
      <c r="A306" s="3" t="str">
        <f>HYPERLINK("http://www.ncbi.nlm.nih.gov/gene/435","435")</f>
        <v>435</v>
      </c>
      <c r="B306" s="1" t="s">
        <v>802</v>
      </c>
      <c r="C306" t="s">
        <v>803</v>
      </c>
      <c r="D306">
        <v>112.4</v>
      </c>
      <c r="E306">
        <v>113.6</v>
      </c>
      <c r="F306">
        <v>100</v>
      </c>
      <c r="G306">
        <v>99.6</v>
      </c>
      <c r="H306">
        <v>119.1</v>
      </c>
      <c r="I306">
        <v>121.1</v>
      </c>
      <c r="J306">
        <v>100</v>
      </c>
      <c r="K306">
        <v>100</v>
      </c>
      <c r="L306" s="1" t="s">
        <v>802</v>
      </c>
      <c r="M306" t="s">
        <v>804</v>
      </c>
      <c r="N306">
        <v>6</v>
      </c>
    </row>
    <row r="307" spans="1:14" x14ac:dyDescent="0.25">
      <c r="A307" s="3" t="str">
        <f>HYPERLINK("http://www.ncbi.nlm.nih.gov/gene/440","440")</f>
        <v>440</v>
      </c>
      <c r="B307" s="1" t="s">
        <v>805</v>
      </c>
      <c r="C307" t="s">
        <v>806</v>
      </c>
      <c r="D307">
        <v>95.3</v>
      </c>
      <c r="E307">
        <v>98.7</v>
      </c>
      <c r="F307">
        <v>99.4</v>
      </c>
      <c r="G307">
        <v>95.2</v>
      </c>
      <c r="H307">
        <v>136.80000000000001</v>
      </c>
      <c r="I307">
        <v>140.80000000000001</v>
      </c>
      <c r="J307">
        <v>100</v>
      </c>
      <c r="K307">
        <v>100</v>
      </c>
      <c r="L307" s="1" t="s">
        <v>805</v>
      </c>
      <c r="M307" t="s">
        <v>214</v>
      </c>
      <c r="N307">
        <v>5</v>
      </c>
    </row>
    <row r="308" spans="1:14" x14ac:dyDescent="0.25">
      <c r="A308" s="3" t="str">
        <f>HYPERLINK("http://www.ncbi.nlm.nih.gov/gene/443","443")</f>
        <v>443</v>
      </c>
      <c r="B308" s="1" t="s">
        <v>807</v>
      </c>
      <c r="C308" t="s">
        <v>808</v>
      </c>
      <c r="D308">
        <v>148</v>
      </c>
      <c r="E308">
        <v>151.4</v>
      </c>
      <c r="F308">
        <v>99.9</v>
      </c>
      <c r="G308">
        <v>98.3</v>
      </c>
      <c r="H308">
        <v>135.4</v>
      </c>
      <c r="I308">
        <v>140</v>
      </c>
      <c r="J308">
        <v>100</v>
      </c>
      <c r="K308">
        <v>100</v>
      </c>
      <c r="L308" s="1" t="s">
        <v>807</v>
      </c>
      <c r="M308" t="s">
        <v>703</v>
      </c>
      <c r="N308">
        <v>5</v>
      </c>
    </row>
    <row r="309" spans="1:14" x14ac:dyDescent="0.25">
      <c r="A309" s="3" t="str">
        <f>HYPERLINK("http://www.ncbi.nlm.nih.gov/gene/444","444")</f>
        <v>444</v>
      </c>
      <c r="B309" s="1" t="s">
        <v>809</v>
      </c>
      <c r="C309" t="s">
        <v>810</v>
      </c>
      <c r="D309">
        <v>125.9</v>
      </c>
      <c r="E309">
        <v>129.9</v>
      </c>
      <c r="F309">
        <v>99.9</v>
      </c>
      <c r="G309">
        <v>98.8</v>
      </c>
      <c r="H309">
        <v>138.1</v>
      </c>
      <c r="I309">
        <v>141</v>
      </c>
      <c r="J309">
        <v>100</v>
      </c>
      <c r="K309">
        <v>100</v>
      </c>
      <c r="L309" s="1" t="s">
        <v>809</v>
      </c>
      <c r="M309" t="s">
        <v>56</v>
      </c>
      <c r="N309">
        <v>3</v>
      </c>
    </row>
    <row r="310" spans="1:14" x14ac:dyDescent="0.25">
      <c r="A310" s="3" t="str">
        <f>HYPERLINK("http://www.ncbi.nlm.nih.gov/gene/259266","259266")</f>
        <v>259266</v>
      </c>
      <c r="B310" s="1" t="s">
        <v>811</v>
      </c>
      <c r="C310" t="s">
        <v>812</v>
      </c>
      <c r="D310">
        <v>136.80000000000001</v>
      </c>
      <c r="E310">
        <v>127.9</v>
      </c>
      <c r="F310">
        <v>99.7</v>
      </c>
      <c r="G310">
        <v>98.2</v>
      </c>
      <c r="H310">
        <v>136.6</v>
      </c>
      <c r="I310">
        <v>136.9</v>
      </c>
      <c r="J310">
        <v>100</v>
      </c>
      <c r="K310">
        <v>100</v>
      </c>
      <c r="L310" s="1" t="s">
        <v>811</v>
      </c>
      <c r="M310" t="s">
        <v>228</v>
      </c>
      <c r="N310">
        <v>3</v>
      </c>
    </row>
    <row r="311" spans="1:14" x14ac:dyDescent="0.25">
      <c r="A311" s="3" t="str">
        <f>HYPERLINK("http://www.ncbi.nlm.nih.gov/gene/79058","79058")</f>
        <v>79058</v>
      </c>
      <c r="B311" s="1" t="s">
        <v>813</v>
      </c>
      <c r="C311" t="s">
        <v>814</v>
      </c>
      <c r="D311">
        <v>116.4</v>
      </c>
      <c r="E311">
        <v>119.7</v>
      </c>
      <c r="F311">
        <v>99.7</v>
      </c>
      <c r="G311">
        <v>97.8</v>
      </c>
      <c r="H311">
        <v>145.80000000000001</v>
      </c>
      <c r="I311">
        <v>148.69999999999999</v>
      </c>
      <c r="J311">
        <v>100</v>
      </c>
      <c r="K311">
        <v>100</v>
      </c>
      <c r="L311" s="1" t="s">
        <v>813</v>
      </c>
      <c r="M311" t="s">
        <v>22</v>
      </c>
      <c r="N311">
        <v>1</v>
      </c>
    </row>
    <row r="312" spans="1:14" x14ac:dyDescent="0.25">
      <c r="A312" s="3" t="str">
        <f>HYPERLINK("http://www.ncbi.nlm.nih.gov/gene/80150","80150")</f>
        <v>80150</v>
      </c>
      <c r="B312" s="1" t="s">
        <v>815</v>
      </c>
      <c r="C312" t="s">
        <v>816</v>
      </c>
      <c r="D312">
        <v>135</v>
      </c>
      <c r="E312">
        <v>140.9</v>
      </c>
      <c r="F312">
        <v>100</v>
      </c>
      <c r="G312">
        <v>100</v>
      </c>
      <c r="H312">
        <v>158.69999999999999</v>
      </c>
      <c r="I312">
        <v>164.5</v>
      </c>
      <c r="J312">
        <v>100</v>
      </c>
      <c r="K312">
        <v>100</v>
      </c>
      <c r="L312" s="1" t="s">
        <v>815</v>
      </c>
      <c r="M312" t="s">
        <v>817</v>
      </c>
      <c r="N312">
        <v>2</v>
      </c>
    </row>
    <row r="313" spans="1:14" x14ac:dyDescent="0.25">
      <c r="A313" s="3" t="str">
        <f>HYPERLINK("http://www.ncbi.nlm.nih.gov/gene/445","445")</f>
        <v>445</v>
      </c>
      <c r="B313" s="1" t="s">
        <v>818</v>
      </c>
      <c r="C313" t="s">
        <v>819</v>
      </c>
      <c r="D313">
        <v>113.3</v>
      </c>
      <c r="E313">
        <v>110.2</v>
      </c>
      <c r="F313">
        <v>95.4</v>
      </c>
      <c r="G313">
        <v>87.9</v>
      </c>
      <c r="H313">
        <v>145.80000000000001</v>
      </c>
      <c r="I313">
        <v>148.9</v>
      </c>
      <c r="J313">
        <v>100</v>
      </c>
      <c r="K313">
        <v>100</v>
      </c>
      <c r="L313" s="1" t="s">
        <v>818</v>
      </c>
      <c r="M313" t="s">
        <v>38</v>
      </c>
      <c r="N313">
        <v>4</v>
      </c>
    </row>
    <row r="314" spans="1:14" x14ac:dyDescent="0.25">
      <c r="A314" s="3" t="str">
        <f>HYPERLINK("http://www.ncbi.nlm.nih.gov/gene/171023","171023")</f>
        <v>171023</v>
      </c>
      <c r="B314" s="1" t="s">
        <v>820</v>
      </c>
      <c r="C314" t="s">
        <v>821</v>
      </c>
      <c r="D314">
        <v>151.30000000000001</v>
      </c>
      <c r="E314">
        <v>145.80000000000001</v>
      </c>
      <c r="F314">
        <v>99.8</v>
      </c>
      <c r="G314">
        <v>99.3</v>
      </c>
      <c r="H314">
        <v>140.9</v>
      </c>
      <c r="I314">
        <v>142.4</v>
      </c>
      <c r="J314">
        <v>99.8</v>
      </c>
      <c r="K314">
        <v>99.8</v>
      </c>
      <c r="L314" s="1" t="s">
        <v>820</v>
      </c>
      <c r="M314" t="s">
        <v>822</v>
      </c>
      <c r="N314">
        <v>6</v>
      </c>
    </row>
    <row r="315" spans="1:14" x14ac:dyDescent="0.25">
      <c r="A315" s="3" t="str">
        <f>HYPERLINK("http://www.ncbi.nlm.nih.gov/gene/55252","55252")</f>
        <v>55252</v>
      </c>
      <c r="B315" s="1" t="s">
        <v>823</v>
      </c>
      <c r="C315" t="s">
        <v>824</v>
      </c>
      <c r="D315">
        <v>167.8</v>
      </c>
      <c r="E315">
        <v>162.5</v>
      </c>
      <c r="F315">
        <v>99.7</v>
      </c>
      <c r="G315">
        <v>98.9</v>
      </c>
      <c r="H315">
        <v>158.6</v>
      </c>
      <c r="I315">
        <v>160.19999999999999</v>
      </c>
      <c r="J315">
        <v>100</v>
      </c>
      <c r="K315">
        <v>100</v>
      </c>
      <c r="L315" s="1" t="s">
        <v>823</v>
      </c>
      <c r="M315" t="s">
        <v>189</v>
      </c>
      <c r="N315">
        <v>2</v>
      </c>
    </row>
    <row r="316" spans="1:14" x14ac:dyDescent="0.25">
      <c r="A316" s="3" t="str">
        <f>HYPERLINK("http://www.ncbi.nlm.nih.gov/gene/80816","80816")</f>
        <v>80816</v>
      </c>
      <c r="B316" s="1" t="s">
        <v>825</v>
      </c>
      <c r="C316" t="s">
        <v>826</v>
      </c>
      <c r="D316">
        <v>166.6</v>
      </c>
      <c r="E316">
        <v>161.80000000000001</v>
      </c>
      <c r="F316">
        <v>99.9</v>
      </c>
      <c r="G316">
        <v>99.7</v>
      </c>
      <c r="H316">
        <v>145.19999999999999</v>
      </c>
      <c r="I316">
        <v>144.9</v>
      </c>
      <c r="J316">
        <v>100</v>
      </c>
      <c r="K316">
        <v>100</v>
      </c>
      <c r="L316" s="1" t="s">
        <v>825</v>
      </c>
      <c r="M316" t="s">
        <v>827</v>
      </c>
      <c r="N316">
        <v>4</v>
      </c>
    </row>
    <row r="317" spans="1:14" x14ac:dyDescent="0.25">
      <c r="A317" s="3" t="str">
        <f>HYPERLINK("http://www.ncbi.nlm.nih.gov/gene/84896","84896")</f>
        <v>84896</v>
      </c>
      <c r="B317" s="1" t="s">
        <v>828</v>
      </c>
      <c r="C317" t="s">
        <v>829</v>
      </c>
      <c r="D317">
        <v>75.400000000000006</v>
      </c>
      <c r="E317">
        <v>77.5</v>
      </c>
      <c r="F317">
        <v>99.6</v>
      </c>
      <c r="G317">
        <v>95.1</v>
      </c>
      <c r="H317">
        <v>111.8</v>
      </c>
      <c r="I317">
        <v>114.9</v>
      </c>
      <c r="J317">
        <v>100</v>
      </c>
      <c r="K317">
        <v>100</v>
      </c>
      <c r="L317" s="1" t="s">
        <v>828</v>
      </c>
      <c r="M317" t="s">
        <v>830</v>
      </c>
      <c r="N317">
        <v>4</v>
      </c>
    </row>
    <row r="318" spans="1:14" x14ac:dyDescent="0.25">
      <c r="A318" s="3" t="str">
        <f>HYPERLINK("http://www.ncbi.nlm.nih.gov/gene/55210","55210")</f>
        <v>55210</v>
      </c>
      <c r="B318" s="1" t="s">
        <v>831</v>
      </c>
      <c r="C318" t="s">
        <v>832</v>
      </c>
      <c r="D318">
        <v>81.599999999999994</v>
      </c>
      <c r="E318">
        <v>84.8</v>
      </c>
      <c r="F318">
        <v>91.9</v>
      </c>
      <c r="G318">
        <v>83.2</v>
      </c>
      <c r="H318">
        <v>179.5</v>
      </c>
      <c r="I318">
        <v>184.3</v>
      </c>
      <c r="J318">
        <v>100</v>
      </c>
      <c r="K318">
        <v>100</v>
      </c>
      <c r="L318" s="1" t="s">
        <v>831</v>
      </c>
      <c r="M318" t="s">
        <v>833</v>
      </c>
      <c r="N318">
        <v>5</v>
      </c>
    </row>
    <row r="319" spans="1:14" x14ac:dyDescent="0.25">
      <c r="A319" s="3" t="str">
        <f>HYPERLINK("http://www.ncbi.nlm.nih.gov/gene/83858","83858")</f>
        <v>83858</v>
      </c>
      <c r="B319" s="1" t="s">
        <v>834</v>
      </c>
      <c r="C319" t="s">
        <v>835</v>
      </c>
      <c r="D319">
        <v>81.900000000000006</v>
      </c>
      <c r="E319">
        <v>85.2</v>
      </c>
      <c r="F319">
        <v>92.1</v>
      </c>
      <c r="G319">
        <v>79.2</v>
      </c>
      <c r="H319">
        <v>176.5</v>
      </c>
      <c r="I319">
        <v>181.4</v>
      </c>
      <c r="J319">
        <v>100</v>
      </c>
      <c r="K319">
        <v>100</v>
      </c>
      <c r="L319" s="1" t="s">
        <v>834</v>
      </c>
      <c r="M319" t="s">
        <v>265</v>
      </c>
      <c r="N319">
        <v>2</v>
      </c>
    </row>
    <row r="320" spans="1:14" x14ac:dyDescent="0.25">
      <c r="A320" s="3" t="str">
        <f>HYPERLINK("http://www.ncbi.nlm.nih.gov/gene/85300","85300")</f>
        <v>85300</v>
      </c>
      <c r="B320" s="1" t="s">
        <v>836</v>
      </c>
      <c r="C320" t="s">
        <v>837</v>
      </c>
      <c r="D320">
        <v>158.5</v>
      </c>
      <c r="E320">
        <v>166.3</v>
      </c>
      <c r="F320">
        <v>100</v>
      </c>
      <c r="G320">
        <v>99.8</v>
      </c>
      <c r="H320">
        <v>145.69999999999999</v>
      </c>
      <c r="I320">
        <v>149.5</v>
      </c>
      <c r="J320">
        <v>100</v>
      </c>
      <c r="K320">
        <v>100</v>
      </c>
      <c r="L320" s="1" t="s">
        <v>836</v>
      </c>
      <c r="M320" t="s">
        <v>838</v>
      </c>
      <c r="N320">
        <v>3</v>
      </c>
    </row>
    <row r="321" spans="1:14" x14ac:dyDescent="0.25">
      <c r="A321" s="3" t="str">
        <f>HYPERLINK("http://www.ncbi.nlm.nih.gov/gene/467","467")</f>
        <v>467</v>
      </c>
      <c r="B321" s="1" t="s">
        <v>839</v>
      </c>
      <c r="D321">
        <v>112.4</v>
      </c>
      <c r="E321">
        <v>119.3</v>
      </c>
      <c r="F321">
        <v>99.9</v>
      </c>
      <c r="G321">
        <v>97.5</v>
      </c>
      <c r="H321">
        <v>120.7</v>
      </c>
      <c r="I321">
        <v>124.3</v>
      </c>
      <c r="J321">
        <v>100</v>
      </c>
      <c r="K321">
        <v>100</v>
      </c>
      <c r="L321" s="1" t="s">
        <v>839</v>
      </c>
      <c r="M321" t="s">
        <v>840</v>
      </c>
      <c r="N321">
        <v>2</v>
      </c>
    </row>
    <row r="322" spans="1:14" x14ac:dyDescent="0.25">
      <c r="A322" s="3" t="str">
        <f>HYPERLINK("http://www.ncbi.nlm.nih.gov/gene/22926","22926")</f>
        <v>22926</v>
      </c>
      <c r="B322" s="1" t="s">
        <v>841</v>
      </c>
      <c r="C322" t="s">
        <v>842</v>
      </c>
      <c r="D322">
        <v>151.5</v>
      </c>
      <c r="E322">
        <v>158.69999999999999</v>
      </c>
      <c r="F322">
        <v>100</v>
      </c>
      <c r="G322">
        <v>99.9</v>
      </c>
      <c r="H322">
        <v>122.7</v>
      </c>
      <c r="I322">
        <v>126.3</v>
      </c>
      <c r="J322">
        <v>100</v>
      </c>
      <c r="K322">
        <v>100</v>
      </c>
      <c r="L322" s="1" t="s">
        <v>841</v>
      </c>
      <c r="M322" t="s">
        <v>56</v>
      </c>
      <c r="N322">
        <v>3</v>
      </c>
    </row>
    <row r="323" spans="1:14" x14ac:dyDescent="0.25">
      <c r="A323" s="3" t="str">
        <f>HYPERLINK("http://www.ncbi.nlm.nih.gov/gene/115201","115201")</f>
        <v>115201</v>
      </c>
      <c r="B323" s="1" t="s">
        <v>843</v>
      </c>
      <c r="C323" t="s">
        <v>844</v>
      </c>
      <c r="D323">
        <v>78.599999999999994</v>
      </c>
      <c r="E323">
        <v>80.099999999999994</v>
      </c>
      <c r="F323">
        <v>99.5</v>
      </c>
      <c r="G323">
        <v>96.7</v>
      </c>
      <c r="H323">
        <v>118.9</v>
      </c>
      <c r="I323">
        <v>122.3</v>
      </c>
      <c r="J323">
        <v>100</v>
      </c>
      <c r="K323">
        <v>99.6</v>
      </c>
      <c r="L323" s="1" t="s">
        <v>843</v>
      </c>
      <c r="M323" t="s">
        <v>562</v>
      </c>
      <c r="N323">
        <v>2</v>
      </c>
    </row>
    <row r="324" spans="1:14" x14ac:dyDescent="0.25">
      <c r="A324" s="3" t="str">
        <f>HYPERLINK("http://www.ncbi.nlm.nih.gov/gene/23192","23192")</f>
        <v>23192</v>
      </c>
      <c r="B324" s="1" t="s">
        <v>845</v>
      </c>
      <c r="C324" t="s">
        <v>846</v>
      </c>
      <c r="D324">
        <v>144.6</v>
      </c>
      <c r="E324">
        <v>145.5</v>
      </c>
      <c r="F324">
        <v>100</v>
      </c>
      <c r="G324">
        <v>100</v>
      </c>
      <c r="H324">
        <v>150.19999999999999</v>
      </c>
      <c r="I324">
        <v>153.19999999999999</v>
      </c>
      <c r="J324">
        <v>100</v>
      </c>
      <c r="K324">
        <v>100</v>
      </c>
      <c r="L324" s="1" t="s">
        <v>845</v>
      </c>
      <c r="M324" t="s">
        <v>661</v>
      </c>
      <c r="N324">
        <v>2</v>
      </c>
    </row>
    <row r="325" spans="1:14" x14ac:dyDescent="0.25">
      <c r="A325" s="3" t="str">
        <f>HYPERLINK("http://www.ncbi.nlm.nih.gov/gene/9474","9474")</f>
        <v>9474</v>
      </c>
      <c r="B325" s="1" t="s">
        <v>847</v>
      </c>
      <c r="C325" t="s">
        <v>848</v>
      </c>
      <c r="D325">
        <v>150.19999999999999</v>
      </c>
      <c r="E325">
        <v>154.19999999999999</v>
      </c>
      <c r="F325">
        <v>99.4</v>
      </c>
      <c r="G325">
        <v>97.8</v>
      </c>
      <c r="H325">
        <v>127.7</v>
      </c>
      <c r="I325">
        <v>131.19999999999999</v>
      </c>
      <c r="J325">
        <v>100</v>
      </c>
      <c r="K325">
        <v>100</v>
      </c>
      <c r="L325" s="1" t="s">
        <v>847</v>
      </c>
      <c r="M325" t="s">
        <v>53</v>
      </c>
      <c r="N325">
        <v>2</v>
      </c>
    </row>
    <row r="326" spans="1:14" x14ac:dyDescent="0.25">
      <c r="A326" s="3" t="str">
        <f>HYPERLINK("http://www.ncbi.nlm.nih.gov/gene/471","471")</f>
        <v>471</v>
      </c>
      <c r="B326" s="1" t="s">
        <v>849</v>
      </c>
      <c r="C326" t="s">
        <v>850</v>
      </c>
      <c r="D326">
        <v>138.5</v>
      </c>
      <c r="E326">
        <v>142.19999999999999</v>
      </c>
      <c r="F326">
        <v>99.9</v>
      </c>
      <c r="G326">
        <v>99.3</v>
      </c>
      <c r="H326">
        <v>128.4</v>
      </c>
      <c r="I326">
        <v>131.69999999999999</v>
      </c>
      <c r="J326">
        <v>100</v>
      </c>
      <c r="K326">
        <v>100</v>
      </c>
      <c r="L326" s="1" t="s">
        <v>849</v>
      </c>
      <c r="M326" t="s">
        <v>110</v>
      </c>
      <c r="N326">
        <v>5</v>
      </c>
    </row>
    <row r="327" spans="1:14" x14ac:dyDescent="0.25">
      <c r="A327" s="3" t="str">
        <f>HYPERLINK("http://www.ncbi.nlm.nih.gov/gene/51062","51062")</f>
        <v>51062</v>
      </c>
      <c r="B327" s="1" t="s">
        <v>851</v>
      </c>
      <c r="C327" t="s">
        <v>852</v>
      </c>
      <c r="D327">
        <v>172.8</v>
      </c>
      <c r="E327">
        <v>180.1</v>
      </c>
      <c r="F327">
        <v>100</v>
      </c>
      <c r="G327">
        <v>99.7</v>
      </c>
      <c r="H327">
        <v>129.80000000000001</v>
      </c>
      <c r="I327">
        <v>132.69999999999999</v>
      </c>
      <c r="J327">
        <v>100</v>
      </c>
      <c r="K327">
        <v>100</v>
      </c>
      <c r="L327" s="1" t="s">
        <v>851</v>
      </c>
      <c r="M327" t="s">
        <v>853</v>
      </c>
      <c r="N327">
        <v>5</v>
      </c>
    </row>
    <row r="328" spans="1:14" x14ac:dyDescent="0.25">
      <c r="A328" s="3" t="str">
        <f>HYPERLINK("http://www.ncbi.nlm.nih.gov/gene/25923","25923")</f>
        <v>25923</v>
      </c>
      <c r="B328" s="1" t="s">
        <v>854</v>
      </c>
      <c r="C328" t="s">
        <v>855</v>
      </c>
      <c r="D328">
        <v>144.6</v>
      </c>
      <c r="E328">
        <v>147.6</v>
      </c>
      <c r="F328">
        <v>99.8</v>
      </c>
      <c r="G328">
        <v>98.3</v>
      </c>
      <c r="H328">
        <v>138.30000000000001</v>
      </c>
      <c r="I328">
        <v>141.6</v>
      </c>
      <c r="J328">
        <v>100</v>
      </c>
      <c r="K328">
        <v>100</v>
      </c>
      <c r="L328" s="1" t="s">
        <v>854</v>
      </c>
      <c r="M328" t="s">
        <v>856</v>
      </c>
      <c r="N328">
        <v>3</v>
      </c>
    </row>
    <row r="329" spans="1:14" x14ac:dyDescent="0.25">
      <c r="A329" s="3" t="str">
        <f>HYPERLINK("http://www.ncbi.nlm.nih.gov/gene/472","472")</f>
        <v>472</v>
      </c>
      <c r="B329" s="1" t="s">
        <v>857</v>
      </c>
      <c r="C329" t="s">
        <v>858</v>
      </c>
      <c r="D329">
        <v>128.5</v>
      </c>
      <c r="E329">
        <v>133.4</v>
      </c>
      <c r="F329">
        <v>99.8</v>
      </c>
      <c r="G329">
        <v>98.1</v>
      </c>
      <c r="H329">
        <v>122</v>
      </c>
      <c r="I329">
        <v>125.5</v>
      </c>
      <c r="J329">
        <v>100</v>
      </c>
      <c r="K329">
        <v>100</v>
      </c>
      <c r="L329" s="1" t="s">
        <v>857</v>
      </c>
      <c r="M329" t="s">
        <v>859</v>
      </c>
      <c r="N329">
        <v>6</v>
      </c>
    </row>
    <row r="330" spans="1:14" x14ac:dyDescent="0.25">
      <c r="A330" s="3" t="str">
        <f>HYPERLINK("http://www.ncbi.nlm.nih.gov/gene/1822","1822")</f>
        <v>1822</v>
      </c>
      <c r="B330" s="1" t="s">
        <v>860</v>
      </c>
      <c r="C330" t="s">
        <v>861</v>
      </c>
      <c r="D330">
        <v>172.1</v>
      </c>
      <c r="E330">
        <v>166.7</v>
      </c>
      <c r="F330">
        <v>99.9</v>
      </c>
      <c r="G330">
        <v>98.2</v>
      </c>
      <c r="H330">
        <v>159</v>
      </c>
      <c r="I330">
        <v>159.80000000000001</v>
      </c>
      <c r="J330">
        <v>100</v>
      </c>
      <c r="K330">
        <v>100</v>
      </c>
      <c r="L330" s="1" t="s">
        <v>860</v>
      </c>
      <c r="M330" t="s">
        <v>189</v>
      </c>
      <c r="N330">
        <v>2</v>
      </c>
    </row>
    <row r="331" spans="1:14" x14ac:dyDescent="0.25">
      <c r="A331" s="3" t="str">
        <f>HYPERLINK("http://www.ncbi.nlm.nih.gov/gene/474","474")</f>
        <v>474</v>
      </c>
      <c r="B331" s="1" t="s">
        <v>862</v>
      </c>
      <c r="C331" t="s">
        <v>863</v>
      </c>
      <c r="D331">
        <v>130.80000000000001</v>
      </c>
      <c r="E331">
        <v>120.4</v>
      </c>
      <c r="F331">
        <v>100</v>
      </c>
      <c r="G331">
        <v>100</v>
      </c>
      <c r="H331">
        <v>158.69999999999999</v>
      </c>
      <c r="I331">
        <v>158</v>
      </c>
      <c r="J331">
        <v>100</v>
      </c>
      <c r="K331">
        <v>100</v>
      </c>
      <c r="L331" s="1" t="s">
        <v>862</v>
      </c>
      <c r="M331" t="s">
        <v>76</v>
      </c>
      <c r="N331">
        <v>2</v>
      </c>
    </row>
    <row r="332" spans="1:14" x14ac:dyDescent="0.25">
      <c r="A332" s="3" t="str">
        <f>HYPERLINK("http://www.ncbi.nlm.nih.gov/gene/220202","220202")</f>
        <v>220202</v>
      </c>
      <c r="B332" s="1" t="s">
        <v>864</v>
      </c>
      <c r="C332" t="s">
        <v>865</v>
      </c>
      <c r="D332">
        <v>107.3</v>
      </c>
      <c r="E332">
        <v>103.5</v>
      </c>
      <c r="F332">
        <v>96</v>
      </c>
      <c r="G332">
        <v>91.2</v>
      </c>
      <c r="H332">
        <v>123.3</v>
      </c>
      <c r="I332">
        <v>144.9</v>
      </c>
      <c r="J332">
        <v>99.1</v>
      </c>
      <c r="K332">
        <v>94.4</v>
      </c>
      <c r="L332" s="1" t="s">
        <v>864</v>
      </c>
      <c r="M332" t="s">
        <v>56</v>
      </c>
      <c r="N332">
        <v>3</v>
      </c>
    </row>
    <row r="333" spans="1:14" x14ac:dyDescent="0.25">
      <c r="A333" s="3" t="str">
        <f>HYPERLINK("http://www.ncbi.nlm.nih.gov/gene/286410","286410")</f>
        <v>286410</v>
      </c>
      <c r="B333" s="1" t="s">
        <v>866</v>
      </c>
      <c r="C333" t="s">
        <v>867</v>
      </c>
      <c r="D333">
        <v>86.7</v>
      </c>
      <c r="E333">
        <v>91.2</v>
      </c>
      <c r="F333">
        <v>98.7</v>
      </c>
      <c r="G333">
        <v>93.8</v>
      </c>
      <c r="H333">
        <v>109</v>
      </c>
      <c r="I333">
        <v>112</v>
      </c>
      <c r="J333">
        <v>100</v>
      </c>
      <c r="K333">
        <v>99.6</v>
      </c>
      <c r="L333" s="1" t="s">
        <v>866</v>
      </c>
      <c r="M333" t="s">
        <v>868</v>
      </c>
      <c r="N333">
        <v>1</v>
      </c>
    </row>
    <row r="334" spans="1:14" x14ac:dyDescent="0.25">
      <c r="A334" s="3" t="str">
        <f>HYPERLINK("http://www.ncbi.nlm.nih.gov/gene/23400","23400")</f>
        <v>23400</v>
      </c>
      <c r="B334" s="1" t="s">
        <v>869</v>
      </c>
      <c r="C334" t="s">
        <v>870</v>
      </c>
      <c r="D334">
        <v>134.9</v>
      </c>
      <c r="E334">
        <v>138.1</v>
      </c>
      <c r="F334">
        <v>100</v>
      </c>
      <c r="G334">
        <v>99.5</v>
      </c>
      <c r="H334">
        <v>154.4</v>
      </c>
      <c r="I334">
        <v>158.30000000000001</v>
      </c>
      <c r="J334">
        <v>100</v>
      </c>
      <c r="K334">
        <v>100</v>
      </c>
      <c r="L334" s="1" t="s">
        <v>869</v>
      </c>
      <c r="M334" t="s">
        <v>871</v>
      </c>
      <c r="N334">
        <v>6</v>
      </c>
    </row>
    <row r="335" spans="1:14" x14ac:dyDescent="0.25">
      <c r="A335" s="3" t="str">
        <f>HYPERLINK("http://www.ncbi.nlm.nih.gov/gene/476","476")</f>
        <v>476</v>
      </c>
      <c r="B335" s="1" t="s">
        <v>872</v>
      </c>
      <c r="C335" t="s">
        <v>873</v>
      </c>
      <c r="D335">
        <v>136.69999999999999</v>
      </c>
      <c r="E335">
        <v>143.19999999999999</v>
      </c>
      <c r="F335">
        <v>100</v>
      </c>
      <c r="G335">
        <v>100</v>
      </c>
      <c r="H335">
        <v>143.1</v>
      </c>
      <c r="I335">
        <v>147</v>
      </c>
      <c r="J335">
        <v>100</v>
      </c>
      <c r="K335">
        <v>100</v>
      </c>
      <c r="L335" s="1" t="s">
        <v>872</v>
      </c>
      <c r="M335" t="s">
        <v>874</v>
      </c>
      <c r="N335">
        <v>5</v>
      </c>
    </row>
    <row r="336" spans="1:14" x14ac:dyDescent="0.25">
      <c r="A336" s="3" t="str">
        <f>HYPERLINK("http://www.ncbi.nlm.nih.gov/gene/477","477")</f>
        <v>477</v>
      </c>
      <c r="B336" s="1" t="s">
        <v>875</v>
      </c>
      <c r="C336" t="s">
        <v>876</v>
      </c>
      <c r="D336">
        <v>176.7</v>
      </c>
      <c r="E336">
        <v>183.1</v>
      </c>
      <c r="F336">
        <v>100</v>
      </c>
      <c r="G336">
        <v>100</v>
      </c>
      <c r="H336">
        <v>159.30000000000001</v>
      </c>
      <c r="I336">
        <v>163.9</v>
      </c>
      <c r="J336">
        <v>100</v>
      </c>
      <c r="K336">
        <v>100</v>
      </c>
      <c r="L336" s="1" t="s">
        <v>875</v>
      </c>
      <c r="M336" t="s">
        <v>877</v>
      </c>
      <c r="N336">
        <v>4</v>
      </c>
    </row>
    <row r="337" spans="1:14" x14ac:dyDescent="0.25">
      <c r="A337" s="3" t="str">
        <f>HYPERLINK("http://www.ncbi.nlm.nih.gov/gene/478","478")</f>
        <v>478</v>
      </c>
      <c r="B337" s="1" t="s">
        <v>878</v>
      </c>
      <c r="C337" t="s">
        <v>879</v>
      </c>
      <c r="D337">
        <v>166.8</v>
      </c>
      <c r="E337">
        <v>173.5</v>
      </c>
      <c r="F337">
        <v>100</v>
      </c>
      <c r="G337">
        <v>99.9</v>
      </c>
      <c r="H337">
        <v>152.80000000000001</v>
      </c>
      <c r="I337">
        <v>157.69999999999999</v>
      </c>
      <c r="J337">
        <v>100</v>
      </c>
      <c r="K337">
        <v>100</v>
      </c>
      <c r="L337" s="1" t="s">
        <v>878</v>
      </c>
      <c r="M337" t="s">
        <v>880</v>
      </c>
      <c r="N337">
        <v>6</v>
      </c>
    </row>
    <row r="338" spans="1:14" x14ac:dyDescent="0.25">
      <c r="A338" s="3" t="str">
        <f>HYPERLINK("http://www.ncbi.nlm.nih.gov/gene/487","487")</f>
        <v>487</v>
      </c>
      <c r="B338" s="1" t="s">
        <v>881</v>
      </c>
      <c r="C338" t="s">
        <v>882</v>
      </c>
      <c r="D338">
        <v>153.80000000000001</v>
      </c>
      <c r="E338">
        <v>158.19999999999999</v>
      </c>
      <c r="F338">
        <v>100</v>
      </c>
      <c r="G338">
        <v>100</v>
      </c>
      <c r="H338">
        <v>148.9</v>
      </c>
      <c r="I338">
        <v>152.69999999999999</v>
      </c>
      <c r="J338">
        <v>100</v>
      </c>
      <c r="K338">
        <v>100</v>
      </c>
      <c r="L338" s="1" t="s">
        <v>881</v>
      </c>
      <c r="M338" t="s">
        <v>883</v>
      </c>
      <c r="N338">
        <v>3</v>
      </c>
    </row>
    <row r="339" spans="1:14" x14ac:dyDescent="0.25">
      <c r="A339" s="3" t="str">
        <f>HYPERLINK("http://www.ncbi.nlm.nih.gov/gene/488","488")</f>
        <v>488</v>
      </c>
      <c r="B339" s="1" t="s">
        <v>884</v>
      </c>
      <c r="C339" t="s">
        <v>885</v>
      </c>
      <c r="D339">
        <v>161.9</v>
      </c>
      <c r="E339">
        <v>163.1</v>
      </c>
      <c r="F339">
        <v>100</v>
      </c>
      <c r="G339">
        <v>100</v>
      </c>
      <c r="H339">
        <v>137</v>
      </c>
      <c r="I339">
        <v>140.80000000000001</v>
      </c>
      <c r="J339">
        <v>100</v>
      </c>
      <c r="K339">
        <v>100</v>
      </c>
      <c r="L339" s="1" t="s">
        <v>884</v>
      </c>
      <c r="M339" t="s">
        <v>419</v>
      </c>
      <c r="N339">
        <v>3</v>
      </c>
    </row>
    <row r="340" spans="1:14" x14ac:dyDescent="0.25">
      <c r="A340" s="3" t="str">
        <f>HYPERLINK("http://www.ncbi.nlm.nih.gov/gene/491","491")</f>
        <v>491</v>
      </c>
      <c r="B340" s="1" t="s">
        <v>886</v>
      </c>
      <c r="C340" t="s">
        <v>887</v>
      </c>
      <c r="D340">
        <v>176.1</v>
      </c>
      <c r="E340">
        <v>182.6</v>
      </c>
      <c r="F340">
        <v>100</v>
      </c>
      <c r="G340">
        <v>99.9</v>
      </c>
      <c r="H340">
        <v>151.19999999999999</v>
      </c>
      <c r="I340">
        <v>156.4</v>
      </c>
      <c r="J340">
        <v>100</v>
      </c>
      <c r="K340">
        <v>100</v>
      </c>
      <c r="L340" s="1" t="s">
        <v>886</v>
      </c>
      <c r="M340" t="s">
        <v>76</v>
      </c>
      <c r="N340">
        <v>2</v>
      </c>
    </row>
    <row r="341" spans="1:14" x14ac:dyDescent="0.25">
      <c r="A341" s="3" t="str">
        <f>HYPERLINK("http://www.ncbi.nlm.nih.gov/gene/492","492")</f>
        <v>492</v>
      </c>
      <c r="B341" s="1" t="s">
        <v>888</v>
      </c>
      <c r="C341" t="s">
        <v>889</v>
      </c>
      <c r="D341">
        <v>131.19999999999999</v>
      </c>
      <c r="E341">
        <v>139.5</v>
      </c>
      <c r="F341">
        <v>99.5</v>
      </c>
      <c r="G341">
        <v>97.5</v>
      </c>
      <c r="H341">
        <v>141.19999999999999</v>
      </c>
      <c r="I341">
        <v>145.1</v>
      </c>
      <c r="J341">
        <v>100</v>
      </c>
      <c r="K341">
        <v>100</v>
      </c>
      <c r="L341" s="1" t="s">
        <v>888</v>
      </c>
      <c r="M341" t="s">
        <v>890</v>
      </c>
      <c r="N341">
        <v>2</v>
      </c>
    </row>
    <row r="342" spans="1:14" x14ac:dyDescent="0.25">
      <c r="A342" s="3" t="str">
        <f>HYPERLINK("http://www.ncbi.nlm.nih.gov/gene/27032","27032")</f>
        <v>27032</v>
      </c>
      <c r="B342" s="1" t="s">
        <v>891</v>
      </c>
      <c r="C342" t="s">
        <v>892</v>
      </c>
      <c r="D342">
        <v>136.1</v>
      </c>
      <c r="E342">
        <v>139</v>
      </c>
      <c r="F342">
        <v>100</v>
      </c>
      <c r="G342">
        <v>99.6</v>
      </c>
      <c r="H342">
        <v>124.5</v>
      </c>
      <c r="I342">
        <v>127.6</v>
      </c>
      <c r="J342">
        <v>100</v>
      </c>
      <c r="K342">
        <v>100</v>
      </c>
      <c r="L342" s="1" t="s">
        <v>891</v>
      </c>
      <c r="M342" t="s">
        <v>29</v>
      </c>
      <c r="N342">
        <v>2</v>
      </c>
    </row>
    <row r="343" spans="1:14" x14ac:dyDescent="0.25">
      <c r="A343" s="3" t="str">
        <f>HYPERLINK("http://www.ncbi.nlm.nih.gov/gene/495","495")</f>
        <v>495</v>
      </c>
      <c r="B343" s="1" t="s">
        <v>893</v>
      </c>
      <c r="C343" t="s">
        <v>894</v>
      </c>
      <c r="D343">
        <v>132.69999999999999</v>
      </c>
      <c r="E343">
        <v>136.5</v>
      </c>
      <c r="F343">
        <v>99.9</v>
      </c>
      <c r="G343">
        <v>98.9</v>
      </c>
      <c r="H343">
        <v>143.5</v>
      </c>
      <c r="I343">
        <v>147.80000000000001</v>
      </c>
      <c r="J343">
        <v>100</v>
      </c>
      <c r="K343">
        <v>100</v>
      </c>
      <c r="L343" s="1" t="s">
        <v>893</v>
      </c>
      <c r="M343" t="s">
        <v>62</v>
      </c>
      <c r="N343">
        <v>2</v>
      </c>
    </row>
    <row r="344" spans="1:14" x14ac:dyDescent="0.25">
      <c r="A344" s="3" t="str">
        <f>HYPERLINK("http://www.ncbi.nlm.nih.gov/gene/498","498")</f>
        <v>498</v>
      </c>
      <c r="B344" s="1" t="s">
        <v>895</v>
      </c>
      <c r="C344" t="s">
        <v>896</v>
      </c>
      <c r="D344">
        <v>87.2</v>
      </c>
      <c r="E344">
        <v>84.3</v>
      </c>
      <c r="F344">
        <v>95.2</v>
      </c>
      <c r="G344">
        <v>87.6</v>
      </c>
      <c r="H344">
        <v>149</v>
      </c>
      <c r="I344">
        <v>153.5</v>
      </c>
      <c r="J344">
        <v>100</v>
      </c>
      <c r="K344">
        <v>100</v>
      </c>
      <c r="L344" s="1" t="s">
        <v>895</v>
      </c>
      <c r="M344" t="s">
        <v>766</v>
      </c>
      <c r="N344">
        <v>3</v>
      </c>
    </row>
    <row r="345" spans="1:14" x14ac:dyDescent="0.25">
      <c r="A345" s="3" t="str">
        <f>HYPERLINK("http://www.ncbi.nlm.nih.gov/gene/506","506")</f>
        <v>506</v>
      </c>
      <c r="B345" s="1" t="s">
        <v>897</v>
      </c>
      <c r="C345" t="s">
        <v>898</v>
      </c>
      <c r="D345">
        <v>124.4</v>
      </c>
      <c r="E345">
        <v>124.6</v>
      </c>
      <c r="F345">
        <v>100</v>
      </c>
      <c r="G345">
        <v>97.8</v>
      </c>
      <c r="H345">
        <v>139.30000000000001</v>
      </c>
      <c r="I345">
        <v>143.69999999999999</v>
      </c>
      <c r="J345">
        <v>100</v>
      </c>
      <c r="K345">
        <v>100</v>
      </c>
      <c r="L345" s="1" t="s">
        <v>897</v>
      </c>
      <c r="M345" t="s">
        <v>265</v>
      </c>
      <c r="N345">
        <v>2</v>
      </c>
    </row>
    <row r="346" spans="1:14" x14ac:dyDescent="0.25">
      <c r="A346" s="3" t="str">
        <f>HYPERLINK("http://www.ncbi.nlm.nih.gov/gene/509","509")</f>
        <v>509</v>
      </c>
      <c r="B346" s="1" t="s">
        <v>899</v>
      </c>
      <c r="C346" t="s">
        <v>900</v>
      </c>
      <c r="D346">
        <v>85.3</v>
      </c>
      <c r="E346">
        <v>87.6</v>
      </c>
      <c r="F346">
        <v>98</v>
      </c>
      <c r="G346">
        <v>92.2</v>
      </c>
      <c r="H346">
        <v>129.9</v>
      </c>
      <c r="I346">
        <v>132.80000000000001</v>
      </c>
      <c r="J346">
        <v>100</v>
      </c>
      <c r="K346">
        <v>100</v>
      </c>
      <c r="L346" s="1" t="s">
        <v>899</v>
      </c>
      <c r="M346" t="s">
        <v>265</v>
      </c>
      <c r="N346">
        <v>2</v>
      </c>
    </row>
    <row r="347" spans="1:14" x14ac:dyDescent="0.25">
      <c r="A347" s="3" t="str">
        <f>HYPERLINK("http://www.ncbi.nlm.nih.gov/gene/513","513")</f>
        <v>513</v>
      </c>
      <c r="B347" s="1" t="s">
        <v>901</v>
      </c>
      <c r="C347" t="s">
        <v>902</v>
      </c>
      <c r="D347">
        <v>72.7</v>
      </c>
      <c r="E347">
        <v>72.7</v>
      </c>
      <c r="F347">
        <v>96.2</v>
      </c>
      <c r="G347">
        <v>89.3</v>
      </c>
      <c r="H347">
        <v>145.6</v>
      </c>
      <c r="I347">
        <v>149.69999999999999</v>
      </c>
      <c r="J347">
        <v>100</v>
      </c>
      <c r="K347">
        <v>100</v>
      </c>
      <c r="L347" s="1" t="s">
        <v>901</v>
      </c>
      <c r="M347" t="s">
        <v>766</v>
      </c>
      <c r="N347">
        <v>3</v>
      </c>
    </row>
    <row r="348" spans="1:14" x14ac:dyDescent="0.25">
      <c r="A348" s="3" t="str">
        <f>HYPERLINK("http://www.ncbi.nlm.nih.gov/gene/514","514")</f>
        <v>514</v>
      </c>
      <c r="B348" s="1" t="s">
        <v>903</v>
      </c>
      <c r="C348" t="s">
        <v>904</v>
      </c>
      <c r="D348">
        <v>166.3</v>
      </c>
      <c r="E348">
        <v>175</v>
      </c>
      <c r="F348">
        <v>100</v>
      </c>
      <c r="G348">
        <v>100</v>
      </c>
      <c r="H348">
        <v>107.8</v>
      </c>
      <c r="I348">
        <v>109.9</v>
      </c>
      <c r="J348">
        <v>100</v>
      </c>
      <c r="K348">
        <v>100</v>
      </c>
      <c r="L348" s="1" t="s">
        <v>903</v>
      </c>
      <c r="M348" t="s">
        <v>905</v>
      </c>
      <c r="N348">
        <v>3</v>
      </c>
    </row>
    <row r="349" spans="1:14" x14ac:dyDescent="0.25">
      <c r="A349" s="3" t="str">
        <f>HYPERLINK("http://www.ncbi.nlm.nih.gov/gene/93974","93974")</f>
        <v>93974</v>
      </c>
      <c r="B349" s="1" t="s">
        <v>906</v>
      </c>
      <c r="C349" t="s">
        <v>907</v>
      </c>
      <c r="D349">
        <v>190.6</v>
      </c>
      <c r="E349">
        <v>193.9</v>
      </c>
      <c r="F349">
        <v>100</v>
      </c>
      <c r="G349">
        <v>100</v>
      </c>
      <c r="H349">
        <v>128.80000000000001</v>
      </c>
      <c r="I349">
        <v>132.19999999999999</v>
      </c>
      <c r="J349">
        <v>100</v>
      </c>
      <c r="K349">
        <v>100</v>
      </c>
      <c r="L349" s="1" t="s">
        <v>906</v>
      </c>
      <c r="M349" t="s">
        <v>265</v>
      </c>
      <c r="N349">
        <v>2</v>
      </c>
    </row>
    <row r="350" spans="1:14" x14ac:dyDescent="0.25">
      <c r="A350" s="3" t="str">
        <f>HYPERLINK("http://www.ncbi.nlm.nih.gov/gene/516","516")</f>
        <v>516</v>
      </c>
      <c r="B350" s="1" t="s">
        <v>908</v>
      </c>
      <c r="C350" t="s">
        <v>909</v>
      </c>
      <c r="D350">
        <v>101.9</v>
      </c>
      <c r="E350">
        <v>99.2</v>
      </c>
      <c r="F350">
        <v>100</v>
      </c>
      <c r="G350">
        <v>99.9</v>
      </c>
      <c r="H350">
        <v>129.5</v>
      </c>
      <c r="I350">
        <v>133.19999999999999</v>
      </c>
      <c r="J350">
        <v>100</v>
      </c>
      <c r="K350">
        <v>100</v>
      </c>
      <c r="L350" s="1" t="s">
        <v>908</v>
      </c>
      <c r="M350" t="s">
        <v>265</v>
      </c>
      <c r="N350">
        <v>2</v>
      </c>
    </row>
    <row r="351" spans="1:14" x14ac:dyDescent="0.25">
      <c r="A351" s="3" t="str">
        <f>HYPERLINK("http://www.ncbi.nlm.nih.gov/gene/517","517")</f>
        <v>517</v>
      </c>
      <c r="B351" s="1" t="s">
        <v>910</v>
      </c>
      <c r="C351" t="s">
        <v>911</v>
      </c>
      <c r="D351">
        <v>79.7</v>
      </c>
      <c r="E351">
        <v>79.099999999999994</v>
      </c>
      <c r="F351">
        <v>100</v>
      </c>
      <c r="G351">
        <v>98.1</v>
      </c>
      <c r="H351">
        <v>131.4</v>
      </c>
      <c r="I351">
        <v>135.4</v>
      </c>
      <c r="J351">
        <v>100</v>
      </c>
      <c r="K351">
        <v>100</v>
      </c>
      <c r="L351" s="1" t="s">
        <v>910</v>
      </c>
      <c r="M351" t="s">
        <v>265</v>
      </c>
      <c r="N351">
        <v>2</v>
      </c>
    </row>
    <row r="352" spans="1:14" x14ac:dyDescent="0.25">
      <c r="A352" s="3" t="str">
        <f>HYPERLINK("http://www.ncbi.nlm.nih.gov/gene/518","518")</f>
        <v>518</v>
      </c>
      <c r="B352" s="1" t="s">
        <v>912</v>
      </c>
      <c r="C352" t="s">
        <v>913</v>
      </c>
      <c r="D352">
        <v>131.1</v>
      </c>
      <c r="E352">
        <v>136.5</v>
      </c>
      <c r="F352">
        <v>100</v>
      </c>
      <c r="G352">
        <v>100</v>
      </c>
      <c r="H352">
        <v>144.69999999999999</v>
      </c>
      <c r="I352">
        <v>148.80000000000001</v>
      </c>
      <c r="J352">
        <v>100</v>
      </c>
      <c r="K352">
        <v>100</v>
      </c>
      <c r="L352" s="1" t="s">
        <v>912</v>
      </c>
      <c r="M352" t="s">
        <v>265</v>
      </c>
      <c r="N352">
        <v>2</v>
      </c>
    </row>
    <row r="353" spans="1:14" x14ac:dyDescent="0.25">
      <c r="A353" s="3" t="str">
        <f>HYPERLINK("http://www.ncbi.nlm.nih.gov/gene/521","521")</f>
        <v>521</v>
      </c>
      <c r="B353" s="1" t="s">
        <v>914</v>
      </c>
      <c r="C353" t="s">
        <v>915</v>
      </c>
      <c r="D353">
        <v>83</v>
      </c>
      <c r="E353">
        <v>83.6</v>
      </c>
      <c r="F353">
        <v>100</v>
      </c>
      <c r="G353">
        <v>100</v>
      </c>
      <c r="H353">
        <v>147.1</v>
      </c>
      <c r="I353">
        <v>148.80000000000001</v>
      </c>
      <c r="J353">
        <v>100</v>
      </c>
      <c r="K353">
        <v>100</v>
      </c>
      <c r="L353" s="1" t="s">
        <v>914</v>
      </c>
      <c r="M353" t="s">
        <v>265</v>
      </c>
      <c r="N353">
        <v>2</v>
      </c>
    </row>
    <row r="354" spans="1:14" x14ac:dyDescent="0.25">
      <c r="A354" s="3" t="str">
        <f>HYPERLINK("http://www.ncbi.nlm.nih.gov/gene/9551","9551")</f>
        <v>9551</v>
      </c>
      <c r="B354" s="1" t="s">
        <v>916</v>
      </c>
      <c r="C354" t="s">
        <v>917</v>
      </c>
      <c r="D354">
        <v>151.4</v>
      </c>
      <c r="E354">
        <v>150.9</v>
      </c>
      <c r="F354">
        <v>100</v>
      </c>
      <c r="G354">
        <v>99.4</v>
      </c>
      <c r="H354">
        <v>145.69999999999999</v>
      </c>
      <c r="I354">
        <v>148.6</v>
      </c>
      <c r="J354">
        <v>100</v>
      </c>
      <c r="K354">
        <v>100</v>
      </c>
      <c r="L354" s="1" t="s">
        <v>916</v>
      </c>
      <c r="M354" t="s">
        <v>265</v>
      </c>
      <c r="N354">
        <v>2</v>
      </c>
    </row>
    <row r="355" spans="1:14" x14ac:dyDescent="0.25">
      <c r="A355" s="3" t="str">
        <f>HYPERLINK("http://www.ncbi.nlm.nih.gov/gene/10632","10632")</f>
        <v>10632</v>
      </c>
      <c r="B355" s="1" t="s">
        <v>918</v>
      </c>
      <c r="C355" t="s">
        <v>919</v>
      </c>
      <c r="D355">
        <v>134.69999999999999</v>
      </c>
      <c r="E355">
        <v>137</v>
      </c>
      <c r="F355">
        <v>100</v>
      </c>
      <c r="G355">
        <v>100</v>
      </c>
      <c r="H355">
        <v>129.69999999999999</v>
      </c>
      <c r="I355">
        <v>132.5</v>
      </c>
      <c r="J355">
        <v>100</v>
      </c>
      <c r="K355">
        <v>100</v>
      </c>
      <c r="L355" s="1" t="s">
        <v>918</v>
      </c>
      <c r="M355" t="s">
        <v>265</v>
      </c>
      <c r="N355">
        <v>2</v>
      </c>
    </row>
    <row r="356" spans="1:14" x14ac:dyDescent="0.25">
      <c r="A356" s="3" t="str">
        <f>HYPERLINK("http://www.ncbi.nlm.nih.gov/gene/267020","267020")</f>
        <v>267020</v>
      </c>
      <c r="B356" s="1" t="s">
        <v>920</v>
      </c>
      <c r="C356" t="s">
        <v>921</v>
      </c>
      <c r="D356">
        <v>185.7</v>
      </c>
      <c r="E356">
        <v>197.1</v>
      </c>
      <c r="F356">
        <v>100</v>
      </c>
      <c r="G356">
        <v>100</v>
      </c>
      <c r="H356">
        <v>170.8</v>
      </c>
      <c r="I356">
        <v>177.2</v>
      </c>
      <c r="J356">
        <v>100</v>
      </c>
      <c r="K356">
        <v>100</v>
      </c>
      <c r="L356" s="1" t="s">
        <v>920</v>
      </c>
      <c r="M356" t="s">
        <v>265</v>
      </c>
      <c r="N356">
        <v>2</v>
      </c>
    </row>
    <row r="357" spans="1:14" x14ac:dyDescent="0.25">
      <c r="A357" s="3" t="str">
        <f>HYPERLINK("http://www.ncbi.nlm.nih.gov/gene/84833","84833")</f>
        <v>84833</v>
      </c>
      <c r="B357" s="1" t="s">
        <v>922</v>
      </c>
      <c r="C357" t="s">
        <v>923</v>
      </c>
      <c r="D357">
        <v>19.600000000000001</v>
      </c>
      <c r="E357">
        <v>19.8</v>
      </c>
      <c r="F357">
        <v>82.9</v>
      </c>
      <c r="G357">
        <v>42.8</v>
      </c>
      <c r="H357">
        <v>108</v>
      </c>
      <c r="I357">
        <v>109.3</v>
      </c>
      <c r="J357">
        <v>100</v>
      </c>
      <c r="K357">
        <v>100</v>
      </c>
      <c r="L357" s="1" t="s">
        <v>924</v>
      </c>
      <c r="M357" t="s">
        <v>265</v>
      </c>
      <c r="N357">
        <v>2</v>
      </c>
    </row>
    <row r="358" spans="1:14" x14ac:dyDescent="0.25">
      <c r="A358" s="3" t="str">
        <f>HYPERLINK("http://www.ncbi.nlm.nih.gov/gene/515","515")</f>
        <v>515</v>
      </c>
      <c r="B358" s="1" t="s">
        <v>925</v>
      </c>
      <c r="C358" t="s">
        <v>926</v>
      </c>
      <c r="D358">
        <v>69.400000000000006</v>
      </c>
      <c r="E358">
        <v>68.8</v>
      </c>
      <c r="F358">
        <v>98.9</v>
      </c>
      <c r="G358">
        <v>90.4</v>
      </c>
      <c r="H358">
        <v>141.5</v>
      </c>
      <c r="I358">
        <v>145.19999999999999</v>
      </c>
      <c r="J358">
        <v>100</v>
      </c>
      <c r="K358">
        <v>100</v>
      </c>
      <c r="L358" s="1" t="s">
        <v>925</v>
      </c>
      <c r="M358" t="s">
        <v>265</v>
      </c>
      <c r="N358">
        <v>2</v>
      </c>
    </row>
    <row r="359" spans="1:14" x14ac:dyDescent="0.25">
      <c r="A359" s="3" t="str">
        <f>HYPERLINK("http://www.ncbi.nlm.nih.gov/gene/10476","10476")</f>
        <v>10476</v>
      </c>
      <c r="B359" s="1" t="s">
        <v>927</v>
      </c>
      <c r="C359" t="s">
        <v>928</v>
      </c>
      <c r="D359">
        <v>101.6</v>
      </c>
      <c r="E359">
        <v>98</v>
      </c>
      <c r="F359">
        <v>97.3</v>
      </c>
      <c r="G359">
        <v>80.900000000000006</v>
      </c>
      <c r="H359">
        <v>118.3</v>
      </c>
      <c r="I359">
        <v>120.7</v>
      </c>
      <c r="J359">
        <v>100</v>
      </c>
      <c r="K359">
        <v>100</v>
      </c>
      <c r="L359" s="1" t="s">
        <v>927</v>
      </c>
      <c r="M359" t="s">
        <v>265</v>
      </c>
      <c r="N359">
        <v>2</v>
      </c>
    </row>
    <row r="360" spans="1:14" x14ac:dyDescent="0.25">
      <c r="A360" s="3" t="str">
        <f>HYPERLINK("http://www.ncbi.nlm.nih.gov/gene/522","522")</f>
        <v>522</v>
      </c>
      <c r="B360" s="1" t="s">
        <v>929</v>
      </c>
      <c r="C360" t="s">
        <v>930</v>
      </c>
      <c r="D360">
        <v>70.2</v>
      </c>
      <c r="E360">
        <v>69.400000000000006</v>
      </c>
      <c r="F360">
        <v>100</v>
      </c>
      <c r="G360">
        <v>97.5</v>
      </c>
      <c r="H360">
        <v>134.9</v>
      </c>
      <c r="I360">
        <v>137.80000000000001</v>
      </c>
      <c r="J360">
        <v>100</v>
      </c>
      <c r="K360">
        <v>100</v>
      </c>
      <c r="L360" s="1" t="s">
        <v>929</v>
      </c>
      <c r="M360" t="s">
        <v>265</v>
      </c>
      <c r="N360">
        <v>2</v>
      </c>
    </row>
    <row r="361" spans="1:14" x14ac:dyDescent="0.25">
      <c r="A361" s="3" t="str">
        <f>HYPERLINK("http://www.ncbi.nlm.nih.gov/gene/539","539")</f>
        <v>539</v>
      </c>
      <c r="B361" s="1" t="s">
        <v>931</v>
      </c>
      <c r="C361" t="s">
        <v>932</v>
      </c>
      <c r="D361">
        <v>112.1</v>
      </c>
      <c r="E361">
        <v>114.9</v>
      </c>
      <c r="F361">
        <v>99.9</v>
      </c>
      <c r="G361">
        <v>98</v>
      </c>
      <c r="H361">
        <v>126.9</v>
      </c>
      <c r="I361">
        <v>129.30000000000001</v>
      </c>
      <c r="J361">
        <v>100</v>
      </c>
      <c r="K361">
        <v>100</v>
      </c>
      <c r="L361" s="1" t="s">
        <v>931</v>
      </c>
      <c r="M361" t="s">
        <v>265</v>
      </c>
      <c r="N361">
        <v>2</v>
      </c>
    </row>
    <row r="362" spans="1:14" x14ac:dyDescent="0.25">
      <c r="A362" s="3" t="str">
        <f>HYPERLINK("http://www.ncbi.nlm.nih.gov/gene/537","537")</f>
        <v>537</v>
      </c>
      <c r="B362" s="1" t="s">
        <v>933</v>
      </c>
      <c r="C362" t="s">
        <v>934</v>
      </c>
      <c r="D362">
        <v>100.7</v>
      </c>
      <c r="E362">
        <v>104.8</v>
      </c>
      <c r="F362">
        <v>98.2</v>
      </c>
      <c r="G362">
        <v>92.1</v>
      </c>
      <c r="H362">
        <v>136.1</v>
      </c>
      <c r="I362">
        <v>140</v>
      </c>
      <c r="J362">
        <v>100</v>
      </c>
      <c r="K362">
        <v>100</v>
      </c>
      <c r="L362" s="1" t="s">
        <v>933</v>
      </c>
      <c r="M362" t="s">
        <v>935</v>
      </c>
      <c r="N362">
        <v>3</v>
      </c>
    </row>
    <row r="363" spans="1:14" x14ac:dyDescent="0.25">
      <c r="A363" s="3" t="str">
        <f>HYPERLINK("http://www.ncbi.nlm.nih.gov/gene/10159","10159")</f>
        <v>10159</v>
      </c>
      <c r="B363" s="1" t="s">
        <v>936</v>
      </c>
      <c r="C363" t="s">
        <v>937</v>
      </c>
      <c r="D363">
        <v>54.5</v>
      </c>
      <c r="E363">
        <v>56.8</v>
      </c>
      <c r="F363">
        <v>94.1</v>
      </c>
      <c r="G363">
        <v>76.599999999999994</v>
      </c>
      <c r="H363">
        <v>111.9</v>
      </c>
      <c r="I363">
        <v>114.9</v>
      </c>
      <c r="J363">
        <v>100</v>
      </c>
      <c r="K363">
        <v>100</v>
      </c>
      <c r="L363" s="1" t="s">
        <v>936</v>
      </c>
      <c r="M363" t="s">
        <v>938</v>
      </c>
      <c r="N363">
        <v>4</v>
      </c>
    </row>
    <row r="364" spans="1:14" x14ac:dyDescent="0.25">
      <c r="A364" s="3" t="str">
        <f>HYPERLINK("http://www.ncbi.nlm.nih.gov/gene/23545","23545")</f>
        <v>23545</v>
      </c>
      <c r="B364" s="1" t="s">
        <v>939</v>
      </c>
      <c r="C364" t="s">
        <v>940</v>
      </c>
      <c r="D364">
        <v>128.4</v>
      </c>
      <c r="E364">
        <v>133.69999999999999</v>
      </c>
      <c r="F364">
        <v>100</v>
      </c>
      <c r="G364">
        <v>99.5</v>
      </c>
      <c r="H364">
        <v>133.80000000000001</v>
      </c>
      <c r="I364">
        <v>137.5</v>
      </c>
      <c r="J364">
        <v>100</v>
      </c>
      <c r="K364">
        <v>100</v>
      </c>
      <c r="L364" s="1" t="s">
        <v>939</v>
      </c>
      <c r="M364" t="s">
        <v>941</v>
      </c>
      <c r="N364">
        <v>6</v>
      </c>
    </row>
    <row r="365" spans="1:14" x14ac:dyDescent="0.25">
      <c r="A365" s="3" t="str">
        <f>HYPERLINK("http://www.ncbi.nlm.nih.gov/gene/50617","50617")</f>
        <v>50617</v>
      </c>
      <c r="B365" s="1" t="s">
        <v>942</v>
      </c>
      <c r="C365" t="s">
        <v>943</v>
      </c>
      <c r="D365">
        <v>128.80000000000001</v>
      </c>
      <c r="E365">
        <v>134</v>
      </c>
      <c r="F365">
        <v>100</v>
      </c>
      <c r="G365">
        <v>99.9</v>
      </c>
      <c r="H365">
        <v>135.1</v>
      </c>
      <c r="I365">
        <v>138.9</v>
      </c>
      <c r="J365">
        <v>100</v>
      </c>
      <c r="K365">
        <v>100</v>
      </c>
      <c r="L365" s="1" t="s">
        <v>942</v>
      </c>
      <c r="M365" t="s">
        <v>944</v>
      </c>
      <c r="N365">
        <v>4</v>
      </c>
    </row>
    <row r="366" spans="1:14" x14ac:dyDescent="0.25">
      <c r="A366" s="3" t="str">
        <f>HYPERLINK("http://www.ncbi.nlm.nih.gov/gene/523","523")</f>
        <v>523</v>
      </c>
      <c r="B366" s="1" t="s">
        <v>945</v>
      </c>
      <c r="C366" t="s">
        <v>946</v>
      </c>
      <c r="D366">
        <v>152.1</v>
      </c>
      <c r="E366">
        <v>156</v>
      </c>
      <c r="F366">
        <v>99.9</v>
      </c>
      <c r="G366">
        <v>98.7</v>
      </c>
      <c r="H366">
        <v>120</v>
      </c>
      <c r="I366">
        <v>123.5</v>
      </c>
      <c r="J366">
        <v>100</v>
      </c>
      <c r="K366">
        <v>100</v>
      </c>
      <c r="L366" s="1" t="s">
        <v>945</v>
      </c>
      <c r="M366" t="s">
        <v>947</v>
      </c>
      <c r="N366">
        <v>4</v>
      </c>
    </row>
    <row r="367" spans="1:14" x14ac:dyDescent="0.25">
      <c r="A367" s="3" t="str">
        <f>HYPERLINK("http://www.ncbi.nlm.nih.gov/gene/525","525")</f>
        <v>525</v>
      </c>
      <c r="B367" s="1" t="s">
        <v>948</v>
      </c>
      <c r="C367" t="s">
        <v>949</v>
      </c>
      <c r="D367">
        <v>191.6</v>
      </c>
      <c r="E367">
        <v>199.1</v>
      </c>
      <c r="F367">
        <v>100</v>
      </c>
      <c r="G367">
        <v>100</v>
      </c>
      <c r="H367">
        <v>130.9</v>
      </c>
      <c r="I367">
        <v>134</v>
      </c>
      <c r="J367">
        <v>100</v>
      </c>
      <c r="K367">
        <v>100</v>
      </c>
      <c r="L367" s="1" t="s">
        <v>948</v>
      </c>
      <c r="M367" t="s">
        <v>950</v>
      </c>
      <c r="N367">
        <v>4</v>
      </c>
    </row>
    <row r="368" spans="1:14" x14ac:dyDescent="0.25">
      <c r="A368" s="3" t="str">
        <f>HYPERLINK("http://www.ncbi.nlm.nih.gov/gene/526","526")</f>
        <v>526</v>
      </c>
      <c r="B368" s="1" t="s">
        <v>951</v>
      </c>
      <c r="C368" t="s">
        <v>952</v>
      </c>
      <c r="D368">
        <v>140.6</v>
      </c>
      <c r="E368">
        <v>143.69999999999999</v>
      </c>
      <c r="F368">
        <v>100</v>
      </c>
      <c r="G368">
        <v>99.3</v>
      </c>
      <c r="H368">
        <v>126.8</v>
      </c>
      <c r="I368">
        <v>129.9</v>
      </c>
      <c r="J368">
        <v>100</v>
      </c>
      <c r="K368">
        <v>100</v>
      </c>
      <c r="L368" s="1" t="s">
        <v>951</v>
      </c>
      <c r="M368" t="s">
        <v>953</v>
      </c>
      <c r="N368">
        <v>3</v>
      </c>
    </row>
    <row r="369" spans="1:14" x14ac:dyDescent="0.25">
      <c r="A369" s="3" t="str">
        <f>HYPERLINK("http://www.ncbi.nlm.nih.gov/gene/529","529")</f>
        <v>529</v>
      </c>
      <c r="B369" s="1" t="s">
        <v>954</v>
      </c>
      <c r="C369" t="s">
        <v>955</v>
      </c>
      <c r="D369">
        <v>81.7</v>
      </c>
      <c r="E369">
        <v>82.2</v>
      </c>
      <c r="F369">
        <v>93.1</v>
      </c>
      <c r="G369">
        <v>88.3</v>
      </c>
      <c r="H369">
        <v>121.2</v>
      </c>
      <c r="I369">
        <v>123.3</v>
      </c>
      <c r="J369">
        <v>100</v>
      </c>
      <c r="K369">
        <v>100</v>
      </c>
      <c r="L369" s="1" t="s">
        <v>954</v>
      </c>
      <c r="M369" t="s">
        <v>116</v>
      </c>
      <c r="N369">
        <v>3</v>
      </c>
    </row>
    <row r="370" spans="1:14" x14ac:dyDescent="0.25">
      <c r="A370" s="3" t="str">
        <f>HYPERLINK("http://www.ncbi.nlm.nih.gov/gene/538","538")</f>
        <v>538</v>
      </c>
      <c r="B370" s="1" t="s">
        <v>956</v>
      </c>
      <c r="C370" t="s">
        <v>957</v>
      </c>
      <c r="D370">
        <v>132.19999999999999</v>
      </c>
      <c r="E370">
        <v>134.6</v>
      </c>
      <c r="F370">
        <v>99</v>
      </c>
      <c r="G370">
        <v>96.9</v>
      </c>
      <c r="H370">
        <v>118.1</v>
      </c>
      <c r="I370">
        <v>121</v>
      </c>
      <c r="J370">
        <v>100</v>
      </c>
      <c r="K370">
        <v>100</v>
      </c>
      <c r="L370" s="1" t="s">
        <v>956</v>
      </c>
      <c r="M370" t="s">
        <v>958</v>
      </c>
      <c r="N370">
        <v>8</v>
      </c>
    </row>
    <row r="371" spans="1:14" x14ac:dyDescent="0.25">
      <c r="A371" s="3" t="str">
        <f>HYPERLINK("http://www.ncbi.nlm.nih.gov/gene/540","540")</f>
        <v>540</v>
      </c>
      <c r="B371" s="1" t="s">
        <v>959</v>
      </c>
      <c r="C371" t="s">
        <v>960</v>
      </c>
      <c r="D371">
        <v>144.69999999999999</v>
      </c>
      <c r="E371">
        <v>146</v>
      </c>
      <c r="F371">
        <v>99.9</v>
      </c>
      <c r="G371">
        <v>99.2</v>
      </c>
      <c r="H371">
        <v>147.9</v>
      </c>
      <c r="I371">
        <v>150.5</v>
      </c>
      <c r="J371">
        <v>100</v>
      </c>
      <c r="K371">
        <v>100</v>
      </c>
      <c r="L371" s="1" t="s">
        <v>959</v>
      </c>
      <c r="M371" t="s">
        <v>961</v>
      </c>
      <c r="N371">
        <v>6</v>
      </c>
    </row>
    <row r="372" spans="1:14" x14ac:dyDescent="0.25">
      <c r="A372" s="3" t="str">
        <f>HYPERLINK("http://www.ncbi.nlm.nih.gov/gene/51761","51761")</f>
        <v>51761</v>
      </c>
      <c r="B372" s="1" t="s">
        <v>962</v>
      </c>
      <c r="C372" t="s">
        <v>963</v>
      </c>
      <c r="D372">
        <v>131.19999999999999</v>
      </c>
      <c r="E372">
        <v>134.69999999999999</v>
      </c>
      <c r="F372">
        <v>100</v>
      </c>
      <c r="G372">
        <v>99.7</v>
      </c>
      <c r="H372">
        <v>142.69999999999999</v>
      </c>
      <c r="I372">
        <v>146.19999999999999</v>
      </c>
      <c r="J372">
        <v>100</v>
      </c>
      <c r="K372">
        <v>100</v>
      </c>
      <c r="L372" s="1" t="s">
        <v>962</v>
      </c>
      <c r="M372" t="s">
        <v>228</v>
      </c>
      <c r="N372">
        <v>3</v>
      </c>
    </row>
    <row r="373" spans="1:14" x14ac:dyDescent="0.25">
      <c r="A373" s="3" t="str">
        <f>HYPERLINK("http://www.ncbi.nlm.nih.gov/gene/5205","5205")</f>
        <v>5205</v>
      </c>
      <c r="B373" s="1" t="s">
        <v>964</v>
      </c>
      <c r="C373" t="s">
        <v>965</v>
      </c>
      <c r="D373">
        <v>136.6</v>
      </c>
      <c r="E373">
        <v>141</v>
      </c>
      <c r="F373">
        <v>96.5</v>
      </c>
      <c r="G373">
        <v>94</v>
      </c>
      <c r="H373">
        <v>134.30000000000001</v>
      </c>
      <c r="I373">
        <v>138.5</v>
      </c>
      <c r="J373">
        <v>100</v>
      </c>
      <c r="K373">
        <v>100</v>
      </c>
      <c r="L373" s="1" t="s">
        <v>964</v>
      </c>
      <c r="M373" t="s">
        <v>966</v>
      </c>
      <c r="N373">
        <v>4</v>
      </c>
    </row>
    <row r="374" spans="1:14" x14ac:dyDescent="0.25">
      <c r="A374" s="3" t="str">
        <f>HYPERLINK("http://www.ncbi.nlm.nih.gov/gene/64756","64756")</f>
        <v>64756</v>
      </c>
      <c r="B374" s="1" t="s">
        <v>967</v>
      </c>
      <c r="C374" t="s">
        <v>968</v>
      </c>
      <c r="D374">
        <v>78.7</v>
      </c>
      <c r="E374">
        <v>81.599999999999994</v>
      </c>
      <c r="F374">
        <v>78.3</v>
      </c>
      <c r="G374">
        <v>70</v>
      </c>
      <c r="H374">
        <v>125.8</v>
      </c>
      <c r="I374">
        <v>128.1</v>
      </c>
      <c r="J374">
        <v>100</v>
      </c>
      <c r="K374">
        <v>100</v>
      </c>
      <c r="L374" s="1" t="s">
        <v>967</v>
      </c>
      <c r="M374" t="s">
        <v>265</v>
      </c>
      <c r="N374">
        <v>2</v>
      </c>
    </row>
    <row r="375" spans="1:14" x14ac:dyDescent="0.25">
      <c r="A375" s="3" t="str">
        <f>HYPERLINK("http://www.ncbi.nlm.nih.gov/gene/91647","91647")</f>
        <v>91647</v>
      </c>
      <c r="B375" s="1" t="s">
        <v>969</v>
      </c>
      <c r="C375" t="s">
        <v>970</v>
      </c>
      <c r="D375">
        <v>115.2</v>
      </c>
      <c r="E375">
        <v>118.7</v>
      </c>
      <c r="F375">
        <v>100</v>
      </c>
      <c r="G375">
        <v>100</v>
      </c>
      <c r="H375">
        <v>130.69999999999999</v>
      </c>
      <c r="I375">
        <v>133.4</v>
      </c>
      <c r="J375">
        <v>100</v>
      </c>
      <c r="K375">
        <v>100</v>
      </c>
      <c r="L375" s="1" t="s">
        <v>969</v>
      </c>
      <c r="M375" t="s">
        <v>971</v>
      </c>
      <c r="N375">
        <v>4</v>
      </c>
    </row>
    <row r="376" spans="1:14" x14ac:dyDescent="0.25">
      <c r="A376" s="3" t="str">
        <f>HYPERLINK("http://www.ncbi.nlm.nih.gov/gene/545","545")</f>
        <v>545</v>
      </c>
      <c r="B376" s="1" t="s">
        <v>972</v>
      </c>
      <c r="C376" t="s">
        <v>973</v>
      </c>
      <c r="D376">
        <v>173.8</v>
      </c>
      <c r="E376">
        <v>178.2</v>
      </c>
      <c r="F376">
        <v>99.9</v>
      </c>
      <c r="G376">
        <v>99.4</v>
      </c>
      <c r="H376">
        <v>131.69999999999999</v>
      </c>
      <c r="I376">
        <v>135.69999999999999</v>
      </c>
      <c r="J376">
        <v>100</v>
      </c>
      <c r="K376">
        <v>100</v>
      </c>
      <c r="L376" s="1" t="s">
        <v>972</v>
      </c>
      <c r="M376" t="s">
        <v>974</v>
      </c>
      <c r="N376">
        <v>7</v>
      </c>
    </row>
    <row r="377" spans="1:14" x14ac:dyDescent="0.25">
      <c r="A377" s="3" t="str">
        <f>HYPERLINK("http://www.ncbi.nlm.nih.gov/gene/546","546")</f>
        <v>546</v>
      </c>
      <c r="B377" s="1" t="s">
        <v>975</v>
      </c>
      <c r="C377" t="s">
        <v>976</v>
      </c>
      <c r="D377">
        <v>105.2</v>
      </c>
      <c r="E377">
        <v>102.2</v>
      </c>
      <c r="F377">
        <v>99.4</v>
      </c>
      <c r="G377">
        <v>96.3</v>
      </c>
      <c r="H377">
        <v>119.5</v>
      </c>
      <c r="I377">
        <v>121.7</v>
      </c>
      <c r="J377">
        <v>100</v>
      </c>
      <c r="K377">
        <v>100</v>
      </c>
      <c r="L377" s="1" t="s">
        <v>975</v>
      </c>
      <c r="M377" t="s">
        <v>977</v>
      </c>
      <c r="N377">
        <v>4</v>
      </c>
    </row>
    <row r="378" spans="1:14" x14ac:dyDescent="0.25">
      <c r="A378" s="3" t="str">
        <f>HYPERLINK("http://www.ncbi.nlm.nih.gov/gene/6310","6310")</f>
        <v>6310</v>
      </c>
      <c r="B378" s="1" t="s">
        <v>978</v>
      </c>
      <c r="C378" t="s">
        <v>979</v>
      </c>
      <c r="D378">
        <v>179.2</v>
      </c>
      <c r="E378">
        <v>186.3</v>
      </c>
      <c r="F378">
        <v>100</v>
      </c>
      <c r="G378">
        <v>99.7</v>
      </c>
      <c r="H378">
        <v>164.5</v>
      </c>
      <c r="I378">
        <v>162.30000000000001</v>
      </c>
      <c r="J378">
        <v>100</v>
      </c>
      <c r="K378">
        <v>100</v>
      </c>
      <c r="L378" s="1" t="s">
        <v>978</v>
      </c>
      <c r="M378" t="s">
        <v>285</v>
      </c>
      <c r="N378">
        <v>1</v>
      </c>
    </row>
    <row r="379" spans="1:14" x14ac:dyDescent="0.25">
      <c r="A379" s="3" t="str">
        <f>HYPERLINK("http://www.ncbi.nlm.nih.gov/gene/25814","25814")</f>
        <v>25814</v>
      </c>
      <c r="B379" s="1" t="s">
        <v>980</v>
      </c>
      <c r="C379" t="s">
        <v>981</v>
      </c>
      <c r="D379">
        <v>149.1</v>
      </c>
      <c r="E379">
        <v>153.4</v>
      </c>
      <c r="F379">
        <v>99.9</v>
      </c>
      <c r="G379">
        <v>99.2</v>
      </c>
      <c r="H379">
        <v>134.80000000000001</v>
      </c>
      <c r="I379">
        <v>138.1</v>
      </c>
      <c r="J379">
        <v>100</v>
      </c>
      <c r="K379">
        <v>100</v>
      </c>
      <c r="L379" s="1" t="s">
        <v>980</v>
      </c>
      <c r="M379" t="s">
        <v>285</v>
      </c>
      <c r="N379">
        <v>1</v>
      </c>
    </row>
    <row r="380" spans="1:14" x14ac:dyDescent="0.25">
      <c r="A380" s="3" t="str">
        <f>HYPERLINK("http://www.ncbi.nlm.nih.gov/gene/6311","6311")</f>
        <v>6311</v>
      </c>
      <c r="B380" s="1" t="s">
        <v>982</v>
      </c>
      <c r="C380" t="s">
        <v>983</v>
      </c>
      <c r="D380">
        <v>100.9</v>
      </c>
      <c r="E380">
        <v>104.9</v>
      </c>
      <c r="F380">
        <v>91.7</v>
      </c>
      <c r="G380">
        <v>84.4</v>
      </c>
      <c r="H380">
        <v>125.4</v>
      </c>
      <c r="I380">
        <v>126.1</v>
      </c>
      <c r="J380">
        <v>99.1</v>
      </c>
      <c r="K380">
        <v>96.8</v>
      </c>
      <c r="L380" s="1" t="s">
        <v>982</v>
      </c>
      <c r="M380" t="s">
        <v>285</v>
      </c>
      <c r="N380">
        <v>1</v>
      </c>
    </row>
    <row r="381" spans="1:14" x14ac:dyDescent="0.25">
      <c r="A381" s="3" t="str">
        <f>HYPERLINK("http://www.ncbi.nlm.nih.gov/gene/4287","4287")</f>
        <v>4287</v>
      </c>
      <c r="B381" s="1" t="s">
        <v>984</v>
      </c>
      <c r="C381" t="s">
        <v>985</v>
      </c>
      <c r="D381">
        <v>108.4</v>
      </c>
      <c r="E381">
        <v>112.4</v>
      </c>
      <c r="F381">
        <v>94.5</v>
      </c>
      <c r="G381">
        <v>89.8</v>
      </c>
      <c r="H381">
        <v>139.80000000000001</v>
      </c>
      <c r="I381">
        <v>144</v>
      </c>
      <c r="J381">
        <v>95.8</v>
      </c>
      <c r="K381">
        <v>95.8</v>
      </c>
      <c r="L381" s="1" t="s">
        <v>984</v>
      </c>
      <c r="M381" t="s">
        <v>285</v>
      </c>
      <c r="N381">
        <v>1</v>
      </c>
    </row>
    <row r="382" spans="1:14" x14ac:dyDescent="0.25">
      <c r="A382" s="3" t="str">
        <f>HYPERLINK("http://www.ncbi.nlm.nih.gov/gene/6314","6314")</f>
        <v>6314</v>
      </c>
      <c r="B382" s="1" t="s">
        <v>986</v>
      </c>
      <c r="C382" t="s">
        <v>987</v>
      </c>
      <c r="D382">
        <v>135</v>
      </c>
      <c r="E382">
        <v>137.4</v>
      </c>
      <c r="F382">
        <v>99.8</v>
      </c>
      <c r="G382">
        <v>97.6</v>
      </c>
      <c r="H382">
        <v>148.30000000000001</v>
      </c>
      <c r="I382">
        <v>151.9</v>
      </c>
      <c r="J382">
        <v>98.6</v>
      </c>
      <c r="K382">
        <v>97.4</v>
      </c>
      <c r="L382" s="1" t="s">
        <v>986</v>
      </c>
      <c r="M382" t="s">
        <v>285</v>
      </c>
      <c r="N382">
        <v>1</v>
      </c>
    </row>
    <row r="383" spans="1:14" x14ac:dyDescent="0.25">
      <c r="A383" s="3" t="str">
        <f>HYPERLINK("http://www.ncbi.nlm.nih.gov/gene/6315","6315")</f>
        <v>6315</v>
      </c>
      <c r="B383" s="1" t="s">
        <v>988</v>
      </c>
      <c r="C383" t="s">
        <v>989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 s="1" t="s">
        <v>988</v>
      </c>
      <c r="M383" t="s">
        <v>285</v>
      </c>
      <c r="N383">
        <v>1</v>
      </c>
    </row>
    <row r="384" spans="1:14" x14ac:dyDescent="0.25">
      <c r="A384" s="3" t="str">
        <f>HYPERLINK("http://www.ncbi.nlm.nih.gov/gene/549","549")</f>
        <v>549</v>
      </c>
      <c r="B384" s="1" t="s">
        <v>990</v>
      </c>
      <c r="D384">
        <v>116.8</v>
      </c>
      <c r="E384">
        <v>120.6</v>
      </c>
      <c r="F384">
        <v>100</v>
      </c>
      <c r="G384">
        <v>99.8</v>
      </c>
      <c r="H384">
        <v>136.30000000000001</v>
      </c>
      <c r="I384">
        <v>140.4</v>
      </c>
      <c r="J384">
        <v>100</v>
      </c>
      <c r="K384">
        <v>100</v>
      </c>
      <c r="L384" s="1" t="s">
        <v>990</v>
      </c>
      <c r="M384" t="s">
        <v>38</v>
      </c>
      <c r="N384">
        <v>4</v>
      </c>
    </row>
    <row r="385" spans="1:14" x14ac:dyDescent="0.25">
      <c r="A385" s="3" t="str">
        <f>HYPERLINK("http://www.ncbi.nlm.nih.gov/gene/6795","6795")</f>
        <v>6795</v>
      </c>
      <c r="B385" s="1" t="s">
        <v>991</v>
      </c>
      <c r="C385" t="s">
        <v>992</v>
      </c>
      <c r="D385">
        <v>73.099999999999994</v>
      </c>
      <c r="E385">
        <v>76.8</v>
      </c>
      <c r="F385">
        <v>100</v>
      </c>
      <c r="G385">
        <v>99.2</v>
      </c>
      <c r="H385">
        <v>146.5</v>
      </c>
      <c r="I385">
        <v>150.5</v>
      </c>
      <c r="J385">
        <v>100</v>
      </c>
      <c r="K385">
        <v>100</v>
      </c>
      <c r="L385" s="1" t="s">
        <v>991</v>
      </c>
      <c r="M385" t="s">
        <v>53</v>
      </c>
      <c r="N385">
        <v>2</v>
      </c>
    </row>
    <row r="386" spans="1:14" x14ac:dyDescent="0.25">
      <c r="A386" s="3" t="str">
        <f>HYPERLINK("http://www.ncbi.nlm.nih.gov/gene/26053","26053")</f>
        <v>26053</v>
      </c>
      <c r="B386" s="1" t="s">
        <v>993</v>
      </c>
      <c r="C386" t="s">
        <v>994</v>
      </c>
      <c r="D386">
        <v>142.6</v>
      </c>
      <c r="E386">
        <v>141.1</v>
      </c>
      <c r="F386">
        <v>98.2</v>
      </c>
      <c r="G386">
        <v>95.8</v>
      </c>
      <c r="H386">
        <v>161.19999999999999</v>
      </c>
      <c r="I386">
        <v>160.69999999999999</v>
      </c>
      <c r="J386">
        <v>100</v>
      </c>
      <c r="K386">
        <v>100</v>
      </c>
      <c r="L386" s="1" t="s">
        <v>993</v>
      </c>
      <c r="M386" t="s">
        <v>995</v>
      </c>
      <c r="N386">
        <v>3</v>
      </c>
    </row>
    <row r="387" spans="1:14" x14ac:dyDescent="0.25">
      <c r="A387" s="3" t="str">
        <f>HYPERLINK("http://www.ncbi.nlm.nih.gov/gene/10677","10677")</f>
        <v>10677</v>
      </c>
      <c r="B387" s="1" t="s">
        <v>996</v>
      </c>
      <c r="C387" t="s">
        <v>997</v>
      </c>
      <c r="D387">
        <v>128.1</v>
      </c>
      <c r="E387">
        <v>132.4</v>
      </c>
      <c r="F387">
        <v>100</v>
      </c>
      <c r="G387">
        <v>99.9</v>
      </c>
      <c r="H387">
        <v>141.80000000000001</v>
      </c>
      <c r="I387">
        <v>145.80000000000001</v>
      </c>
      <c r="J387">
        <v>100</v>
      </c>
      <c r="K387">
        <v>100</v>
      </c>
      <c r="L387" s="1" t="s">
        <v>996</v>
      </c>
      <c r="M387" t="s">
        <v>998</v>
      </c>
      <c r="N387">
        <v>2</v>
      </c>
    </row>
    <row r="388" spans="1:14" x14ac:dyDescent="0.25">
      <c r="A388" s="3" t="str">
        <f>HYPERLINK("http://www.ncbi.nlm.nih.gov/gene/551","551")</f>
        <v>551</v>
      </c>
      <c r="B388" s="1" t="s">
        <v>999</v>
      </c>
      <c r="C388" t="s">
        <v>1000</v>
      </c>
      <c r="D388">
        <v>45.8</v>
      </c>
      <c r="E388">
        <v>47.5</v>
      </c>
      <c r="F388">
        <v>84.9</v>
      </c>
      <c r="G388">
        <v>64.3</v>
      </c>
      <c r="H388">
        <v>113</v>
      </c>
      <c r="I388">
        <v>117.4</v>
      </c>
      <c r="J388">
        <v>100</v>
      </c>
      <c r="K388">
        <v>99.9</v>
      </c>
      <c r="L388" s="1" t="s">
        <v>999</v>
      </c>
      <c r="M388" t="s">
        <v>200</v>
      </c>
      <c r="N388">
        <v>2</v>
      </c>
    </row>
    <row r="389" spans="1:14" x14ac:dyDescent="0.25">
      <c r="A389" s="3" t="str">
        <f>HYPERLINK("http://www.ncbi.nlm.nih.gov/gene/554","554")</f>
        <v>554</v>
      </c>
      <c r="B389" s="1" t="s">
        <v>1001</v>
      </c>
      <c r="C389" t="s">
        <v>1002</v>
      </c>
      <c r="D389">
        <v>109.7</v>
      </c>
      <c r="E389">
        <v>111.5</v>
      </c>
      <c r="F389">
        <v>100</v>
      </c>
      <c r="G389">
        <v>99.4</v>
      </c>
      <c r="H389">
        <v>160.9</v>
      </c>
      <c r="I389">
        <v>160.30000000000001</v>
      </c>
      <c r="J389">
        <v>100</v>
      </c>
      <c r="K389">
        <v>100</v>
      </c>
      <c r="L389" s="1" t="s">
        <v>1001</v>
      </c>
      <c r="M389" t="s">
        <v>1003</v>
      </c>
      <c r="N389">
        <v>3</v>
      </c>
    </row>
    <row r="390" spans="1:14" x14ac:dyDescent="0.25">
      <c r="A390" s="3" t="str">
        <f>HYPERLINK("http://www.ncbi.nlm.nih.gov/gene/8312","8312")</f>
        <v>8312</v>
      </c>
      <c r="B390" s="1" t="s">
        <v>1004</v>
      </c>
      <c r="C390" t="s">
        <v>1005</v>
      </c>
      <c r="D390">
        <v>149.6</v>
      </c>
      <c r="E390">
        <v>151.69999999999999</v>
      </c>
      <c r="F390">
        <v>100</v>
      </c>
      <c r="G390">
        <v>99.6</v>
      </c>
      <c r="H390">
        <v>161.69999999999999</v>
      </c>
      <c r="I390">
        <v>162.4</v>
      </c>
      <c r="J390">
        <v>100</v>
      </c>
      <c r="K390">
        <v>100</v>
      </c>
      <c r="L390" s="1" t="s">
        <v>1004</v>
      </c>
      <c r="M390" t="s">
        <v>22</v>
      </c>
      <c r="N390">
        <v>1</v>
      </c>
    </row>
    <row r="391" spans="1:14" x14ac:dyDescent="0.25">
      <c r="A391" s="3" t="str">
        <f>HYPERLINK("http://www.ncbi.nlm.nih.gov/gene/8313","8313")</f>
        <v>8313</v>
      </c>
      <c r="B391" s="1" t="s">
        <v>1006</v>
      </c>
      <c r="C391" t="s">
        <v>1007</v>
      </c>
      <c r="D391">
        <v>137.6</v>
      </c>
      <c r="E391">
        <v>140.69999999999999</v>
      </c>
      <c r="F391">
        <v>100</v>
      </c>
      <c r="G391">
        <v>99.9</v>
      </c>
      <c r="H391">
        <v>145.69999999999999</v>
      </c>
      <c r="I391">
        <v>147.80000000000001</v>
      </c>
      <c r="J391">
        <v>100</v>
      </c>
      <c r="K391">
        <v>99.9</v>
      </c>
      <c r="L391" s="1" t="s">
        <v>1006</v>
      </c>
      <c r="M391" t="s">
        <v>1008</v>
      </c>
      <c r="N391">
        <v>4</v>
      </c>
    </row>
    <row r="392" spans="1:14" x14ac:dyDescent="0.25">
      <c r="A392" s="3" t="str">
        <f>HYPERLINK("http://www.ncbi.nlm.nih.gov/gene/558","558")</f>
        <v>558</v>
      </c>
      <c r="B392" s="1" t="s">
        <v>1009</v>
      </c>
      <c r="C392" t="s">
        <v>1010</v>
      </c>
      <c r="D392">
        <v>162.9</v>
      </c>
      <c r="E392">
        <v>171.7</v>
      </c>
      <c r="F392">
        <v>100</v>
      </c>
      <c r="G392">
        <v>99.7</v>
      </c>
      <c r="H392">
        <v>139.69999999999999</v>
      </c>
      <c r="I392">
        <v>143.1</v>
      </c>
      <c r="J392">
        <v>100</v>
      </c>
      <c r="K392">
        <v>100</v>
      </c>
      <c r="L392" s="1" t="s">
        <v>1009</v>
      </c>
      <c r="M392" t="s">
        <v>1011</v>
      </c>
      <c r="N392">
        <v>3</v>
      </c>
    </row>
    <row r="393" spans="1:14" x14ac:dyDescent="0.25">
      <c r="A393" s="3" t="str">
        <f>HYPERLINK("http://www.ncbi.nlm.nih.gov/gene/567","567")</f>
        <v>567</v>
      </c>
      <c r="B393" s="1" t="s">
        <v>1012</v>
      </c>
      <c r="C393" t="s">
        <v>1013</v>
      </c>
      <c r="D393">
        <v>219.4</v>
      </c>
      <c r="E393">
        <v>237.4</v>
      </c>
      <c r="F393">
        <v>100</v>
      </c>
      <c r="G393">
        <v>100</v>
      </c>
      <c r="H393">
        <v>207.7</v>
      </c>
      <c r="I393">
        <v>215.3</v>
      </c>
      <c r="J393">
        <v>100</v>
      </c>
      <c r="K393">
        <v>100</v>
      </c>
      <c r="L393" s="1" t="s">
        <v>1012</v>
      </c>
      <c r="M393" t="s">
        <v>1014</v>
      </c>
      <c r="N393">
        <v>4</v>
      </c>
    </row>
    <row r="394" spans="1:14" x14ac:dyDescent="0.25">
      <c r="A394" s="3" t="str">
        <f>HYPERLINK("http://www.ncbi.nlm.nih.gov/gene/8706","8706")</f>
        <v>8706</v>
      </c>
      <c r="B394" s="1" t="s">
        <v>1015</v>
      </c>
      <c r="C394" t="s">
        <v>1016</v>
      </c>
      <c r="D394">
        <v>159.1</v>
      </c>
      <c r="E394">
        <v>158.6</v>
      </c>
      <c r="F394">
        <v>100</v>
      </c>
      <c r="G394">
        <v>99.8</v>
      </c>
      <c r="H394">
        <v>143.69999999999999</v>
      </c>
      <c r="I394">
        <v>141.69999999999999</v>
      </c>
      <c r="J394">
        <v>100</v>
      </c>
      <c r="K394">
        <v>100</v>
      </c>
      <c r="L394" s="1" t="s">
        <v>1015</v>
      </c>
      <c r="M394" t="s">
        <v>93</v>
      </c>
      <c r="N394">
        <v>2</v>
      </c>
    </row>
    <row r="395" spans="1:14" x14ac:dyDescent="0.25">
      <c r="A395" s="3" t="str">
        <f>HYPERLINK("http://www.ncbi.nlm.nih.gov/gene/148789","148789")</f>
        <v>148789</v>
      </c>
      <c r="B395" s="1" t="s">
        <v>1017</v>
      </c>
      <c r="C395" t="s">
        <v>1018</v>
      </c>
      <c r="D395">
        <v>113.5</v>
      </c>
      <c r="E395">
        <v>117</v>
      </c>
      <c r="F395">
        <v>93.8</v>
      </c>
      <c r="G395">
        <v>89.4</v>
      </c>
      <c r="H395">
        <v>125.2</v>
      </c>
      <c r="I395">
        <v>128.9</v>
      </c>
      <c r="J395">
        <v>92.5</v>
      </c>
      <c r="K395">
        <v>92.5</v>
      </c>
      <c r="L395" s="1" t="s">
        <v>1017</v>
      </c>
      <c r="M395" t="s">
        <v>1019</v>
      </c>
      <c r="N395">
        <v>5</v>
      </c>
    </row>
    <row r="396" spans="1:14" x14ac:dyDescent="0.25">
      <c r="A396" s="3" t="str">
        <f>HYPERLINK("http://www.ncbi.nlm.nih.gov/gene/126792","126792")</f>
        <v>126792</v>
      </c>
      <c r="B396" s="1" t="s">
        <v>1020</v>
      </c>
      <c r="C396" t="s">
        <v>1021</v>
      </c>
      <c r="D396">
        <v>39.5</v>
      </c>
      <c r="E396">
        <v>43.1</v>
      </c>
      <c r="F396">
        <v>75.7</v>
      </c>
      <c r="G396">
        <v>69.7</v>
      </c>
      <c r="H396">
        <v>105.6</v>
      </c>
      <c r="I396">
        <v>111.3</v>
      </c>
      <c r="J396">
        <v>89.8</v>
      </c>
      <c r="K396">
        <v>81.599999999999994</v>
      </c>
      <c r="L396" s="1" t="s">
        <v>1020</v>
      </c>
      <c r="M396" t="s">
        <v>1022</v>
      </c>
      <c r="N396">
        <v>7</v>
      </c>
    </row>
    <row r="397" spans="1:14" x14ac:dyDescent="0.25">
      <c r="A397" s="3" t="str">
        <f>HYPERLINK("http://www.ncbi.nlm.nih.gov/gene/26229","26229")</f>
        <v>26229</v>
      </c>
      <c r="B397" s="1" t="s">
        <v>1023</v>
      </c>
      <c r="C397" t="s">
        <v>1024</v>
      </c>
      <c r="D397">
        <v>115.7</v>
      </c>
      <c r="E397">
        <v>115.4</v>
      </c>
      <c r="F397">
        <v>99.9</v>
      </c>
      <c r="G397">
        <v>98.2</v>
      </c>
      <c r="H397">
        <v>138.19999999999999</v>
      </c>
      <c r="I397">
        <v>141.5</v>
      </c>
      <c r="J397">
        <v>94.8</v>
      </c>
      <c r="K397">
        <v>94.8</v>
      </c>
      <c r="L397" s="1" t="s">
        <v>1023</v>
      </c>
      <c r="M397" t="s">
        <v>351</v>
      </c>
      <c r="N397">
        <v>4</v>
      </c>
    </row>
    <row r="398" spans="1:14" x14ac:dyDescent="0.25">
      <c r="A398" s="3" t="str">
        <f>HYPERLINK("http://www.ncbi.nlm.nih.gov/gene/145173","145173")</f>
        <v>145173</v>
      </c>
      <c r="B398" s="1" t="s">
        <v>1025</v>
      </c>
      <c r="C398" t="s">
        <v>1026</v>
      </c>
      <c r="D398">
        <v>112.2</v>
      </c>
      <c r="E398">
        <v>116.4</v>
      </c>
      <c r="F398">
        <v>99.6</v>
      </c>
      <c r="G398">
        <v>96.3</v>
      </c>
      <c r="H398">
        <v>127.7</v>
      </c>
      <c r="I398">
        <v>131</v>
      </c>
      <c r="J398">
        <v>99.9</v>
      </c>
      <c r="K398">
        <v>99.2</v>
      </c>
      <c r="L398" s="1" t="s">
        <v>1025</v>
      </c>
      <c r="M398" t="s">
        <v>1027</v>
      </c>
      <c r="N398">
        <v>6</v>
      </c>
    </row>
    <row r="399" spans="1:14" x14ac:dyDescent="0.25">
      <c r="A399" s="3" t="str">
        <f>HYPERLINK("http://www.ncbi.nlm.nih.gov/gene/2583","2583")</f>
        <v>2583</v>
      </c>
      <c r="B399" s="1" t="s">
        <v>1028</v>
      </c>
      <c r="C399" t="s">
        <v>1029</v>
      </c>
      <c r="D399">
        <v>145.19999999999999</v>
      </c>
      <c r="E399">
        <v>156.9</v>
      </c>
      <c r="F399">
        <v>99.3</v>
      </c>
      <c r="G399">
        <v>95</v>
      </c>
      <c r="H399">
        <v>152.30000000000001</v>
      </c>
      <c r="I399">
        <v>157</v>
      </c>
      <c r="J399">
        <v>100</v>
      </c>
      <c r="K399">
        <v>100</v>
      </c>
      <c r="L399" s="1" t="s">
        <v>1028</v>
      </c>
      <c r="M399" t="s">
        <v>288</v>
      </c>
      <c r="N399">
        <v>4</v>
      </c>
    </row>
    <row r="400" spans="1:14" x14ac:dyDescent="0.25">
      <c r="A400" s="3" t="str">
        <f>HYPERLINK("http://www.ncbi.nlm.nih.gov/gene/2683","2683")</f>
        <v>2683</v>
      </c>
      <c r="B400" s="1" t="s">
        <v>1030</v>
      </c>
      <c r="C400" t="s">
        <v>1031</v>
      </c>
      <c r="D400">
        <v>107.3</v>
      </c>
      <c r="E400">
        <v>110.9</v>
      </c>
      <c r="F400">
        <v>100</v>
      </c>
      <c r="G400">
        <v>99.8</v>
      </c>
      <c r="H400">
        <v>129.9</v>
      </c>
      <c r="I400">
        <v>133.30000000000001</v>
      </c>
      <c r="J400">
        <v>100</v>
      </c>
      <c r="K400">
        <v>100</v>
      </c>
      <c r="L400" s="1" t="s">
        <v>1030</v>
      </c>
      <c r="M400" t="s">
        <v>116</v>
      </c>
      <c r="N400">
        <v>3</v>
      </c>
    </row>
    <row r="401" spans="1:14" x14ac:dyDescent="0.25">
      <c r="A401" s="3" t="str">
        <f>HYPERLINK("http://www.ncbi.nlm.nih.gov/gene/11285","11285")</f>
        <v>11285</v>
      </c>
      <c r="B401" s="1" t="s">
        <v>1032</v>
      </c>
      <c r="C401" t="s">
        <v>1033</v>
      </c>
      <c r="D401">
        <v>121.4</v>
      </c>
      <c r="E401">
        <v>122.2</v>
      </c>
      <c r="F401">
        <v>99.8</v>
      </c>
      <c r="G401">
        <v>97.4</v>
      </c>
      <c r="H401">
        <v>116.7</v>
      </c>
      <c r="I401">
        <v>119</v>
      </c>
      <c r="J401">
        <v>99.9</v>
      </c>
      <c r="K401">
        <v>98.6</v>
      </c>
      <c r="L401" s="1" t="s">
        <v>1032</v>
      </c>
      <c r="M401" t="s">
        <v>1022</v>
      </c>
      <c r="N401">
        <v>7</v>
      </c>
    </row>
    <row r="402" spans="1:14" x14ac:dyDescent="0.25">
      <c r="A402" s="3" t="str">
        <f>HYPERLINK("http://www.ncbi.nlm.nih.gov/gene/11041","11041")</f>
        <v>11041</v>
      </c>
      <c r="B402" s="1" t="s">
        <v>1034</v>
      </c>
      <c r="C402" t="s">
        <v>1035</v>
      </c>
      <c r="D402">
        <v>134.69999999999999</v>
      </c>
      <c r="E402">
        <v>118.1</v>
      </c>
      <c r="F402">
        <v>100</v>
      </c>
      <c r="G402">
        <v>100</v>
      </c>
      <c r="H402">
        <v>152.1</v>
      </c>
      <c r="I402">
        <v>150.6</v>
      </c>
      <c r="J402">
        <v>100</v>
      </c>
      <c r="K402">
        <v>100</v>
      </c>
      <c r="L402" s="1" t="s">
        <v>1034</v>
      </c>
      <c r="M402" t="s">
        <v>1019</v>
      </c>
      <c r="N402">
        <v>5</v>
      </c>
    </row>
    <row r="403" spans="1:14" x14ac:dyDescent="0.25">
      <c r="A403" s="3" t="str">
        <f>HYPERLINK("http://www.ncbi.nlm.nih.gov/gene/27077","27077")</f>
        <v>27077</v>
      </c>
      <c r="B403" s="1" t="s">
        <v>1036</v>
      </c>
      <c r="C403" t="s">
        <v>1037</v>
      </c>
      <c r="D403">
        <v>94.6</v>
      </c>
      <c r="E403">
        <v>94.7</v>
      </c>
      <c r="F403">
        <v>85.2</v>
      </c>
      <c r="G403">
        <v>85.1</v>
      </c>
      <c r="H403">
        <v>138.6</v>
      </c>
      <c r="I403">
        <v>140.9</v>
      </c>
      <c r="J403">
        <v>94.2</v>
      </c>
      <c r="K403">
        <v>93.9</v>
      </c>
      <c r="L403" s="1" t="s">
        <v>1036</v>
      </c>
      <c r="M403" t="s">
        <v>1038</v>
      </c>
      <c r="N403">
        <v>5</v>
      </c>
    </row>
    <row r="404" spans="1:14" x14ac:dyDescent="0.25">
      <c r="A404" s="3" t="str">
        <f>HYPERLINK("http://www.ncbi.nlm.nih.gov/gene/80776","80776")</f>
        <v>80776</v>
      </c>
      <c r="B404" s="1" t="s">
        <v>1039</v>
      </c>
      <c r="C404" t="s">
        <v>1040</v>
      </c>
      <c r="D404">
        <v>96.5</v>
      </c>
      <c r="E404">
        <v>97.6</v>
      </c>
      <c r="F404">
        <v>100</v>
      </c>
      <c r="G404">
        <v>100</v>
      </c>
      <c r="H404">
        <v>143.9</v>
      </c>
      <c r="I404">
        <v>147.1</v>
      </c>
      <c r="J404">
        <v>100</v>
      </c>
      <c r="K404">
        <v>100</v>
      </c>
      <c r="L404" s="1" t="s">
        <v>1039</v>
      </c>
      <c r="M404" t="s">
        <v>1041</v>
      </c>
      <c r="N404">
        <v>5</v>
      </c>
    </row>
    <row r="405" spans="1:14" x14ac:dyDescent="0.25">
      <c r="A405" s="3" t="str">
        <f>HYPERLINK("http://www.ncbi.nlm.nih.gov/gene/570","570")</f>
        <v>570</v>
      </c>
      <c r="B405" s="1" t="s">
        <v>1042</v>
      </c>
      <c r="C405" t="s">
        <v>1043</v>
      </c>
      <c r="D405">
        <v>135.69999999999999</v>
      </c>
      <c r="E405">
        <v>134.80000000000001</v>
      </c>
      <c r="F405">
        <v>99.8</v>
      </c>
      <c r="G405">
        <v>98.4</v>
      </c>
      <c r="H405">
        <v>217.2</v>
      </c>
      <c r="I405">
        <v>222.2</v>
      </c>
      <c r="J405">
        <v>100</v>
      </c>
      <c r="K405">
        <v>100</v>
      </c>
      <c r="L405" s="1" t="s">
        <v>1042</v>
      </c>
      <c r="M405" t="s">
        <v>96</v>
      </c>
      <c r="N405">
        <v>4</v>
      </c>
    </row>
    <row r="406" spans="1:14" x14ac:dyDescent="0.25">
      <c r="A406" s="3" t="str">
        <f>HYPERLINK("http://www.ncbi.nlm.nih.gov/gene/60468","60468")</f>
        <v>60468</v>
      </c>
      <c r="B406" s="1" t="s">
        <v>1044</v>
      </c>
      <c r="C406" t="s">
        <v>1045</v>
      </c>
      <c r="D406">
        <v>190.7</v>
      </c>
      <c r="E406">
        <v>179.8</v>
      </c>
      <c r="F406">
        <v>100</v>
      </c>
      <c r="G406">
        <v>100</v>
      </c>
      <c r="H406">
        <v>168.2</v>
      </c>
      <c r="I406">
        <v>170.9</v>
      </c>
      <c r="J406">
        <v>100</v>
      </c>
      <c r="K406">
        <v>100</v>
      </c>
      <c r="L406" s="1" t="s">
        <v>1044</v>
      </c>
      <c r="M406" t="s">
        <v>562</v>
      </c>
      <c r="N406">
        <v>2</v>
      </c>
    </row>
    <row r="407" spans="1:14" x14ac:dyDescent="0.25">
      <c r="A407" s="3" t="str">
        <f>HYPERLINK("http://www.ncbi.nlm.nih.gov/gene/9531","9531")</f>
        <v>9531</v>
      </c>
      <c r="B407" s="1" t="s">
        <v>1046</v>
      </c>
      <c r="C407" t="s">
        <v>1047</v>
      </c>
      <c r="D407">
        <v>181.1</v>
      </c>
      <c r="E407">
        <v>184</v>
      </c>
      <c r="F407">
        <v>100</v>
      </c>
      <c r="G407">
        <v>100</v>
      </c>
      <c r="H407">
        <v>153.1</v>
      </c>
      <c r="I407">
        <v>153.6</v>
      </c>
      <c r="J407">
        <v>100</v>
      </c>
      <c r="K407">
        <v>100</v>
      </c>
      <c r="L407" s="1" t="s">
        <v>1046</v>
      </c>
      <c r="M407" t="s">
        <v>1048</v>
      </c>
      <c r="N407">
        <v>4</v>
      </c>
    </row>
    <row r="408" spans="1:14" x14ac:dyDescent="0.25">
      <c r="A408" s="3" t="str">
        <f>HYPERLINK("http://www.ncbi.nlm.nih.gov/gene/8815","8815")</f>
        <v>8815</v>
      </c>
      <c r="B408" s="1" t="s">
        <v>1049</v>
      </c>
      <c r="C408" t="s">
        <v>1050</v>
      </c>
      <c r="D408">
        <v>48.4</v>
      </c>
      <c r="E408">
        <v>49.1</v>
      </c>
      <c r="F408">
        <v>98.3</v>
      </c>
      <c r="G408">
        <v>86.6</v>
      </c>
      <c r="H408">
        <v>115.6</v>
      </c>
      <c r="I408">
        <v>118.9</v>
      </c>
      <c r="J408">
        <v>100</v>
      </c>
      <c r="K408">
        <v>100</v>
      </c>
      <c r="L408" s="1" t="s">
        <v>1049</v>
      </c>
      <c r="M408" t="s">
        <v>1051</v>
      </c>
      <c r="N408">
        <v>4</v>
      </c>
    </row>
    <row r="409" spans="1:14" x14ac:dyDescent="0.25">
      <c r="A409" s="3" t="str">
        <f>HYPERLINK("http://www.ncbi.nlm.nih.gov/gene/8314","8314")</f>
        <v>8314</v>
      </c>
      <c r="B409" s="1" t="s">
        <v>1052</v>
      </c>
      <c r="C409" t="s">
        <v>1053</v>
      </c>
      <c r="D409">
        <v>116.1</v>
      </c>
      <c r="E409">
        <v>111.5</v>
      </c>
      <c r="F409">
        <v>84.4</v>
      </c>
      <c r="G409">
        <v>83</v>
      </c>
      <c r="H409">
        <v>138.6</v>
      </c>
      <c r="I409">
        <v>141</v>
      </c>
      <c r="J409">
        <v>100</v>
      </c>
      <c r="K409">
        <v>100</v>
      </c>
      <c r="L409" s="1" t="s">
        <v>1052</v>
      </c>
      <c r="M409" t="s">
        <v>1054</v>
      </c>
      <c r="N409">
        <v>5</v>
      </c>
    </row>
    <row r="410" spans="1:14" x14ac:dyDescent="0.25">
      <c r="A410" s="3" t="str">
        <f>HYPERLINK("http://www.ncbi.nlm.nih.gov/gene/580","580")</f>
        <v>580</v>
      </c>
      <c r="B410" s="1" t="s">
        <v>1055</v>
      </c>
      <c r="D410">
        <v>167.3</v>
      </c>
      <c r="E410">
        <v>161.9</v>
      </c>
      <c r="F410">
        <v>100</v>
      </c>
      <c r="G410">
        <v>99.8</v>
      </c>
      <c r="H410">
        <v>155.6</v>
      </c>
      <c r="I410">
        <v>156.5</v>
      </c>
      <c r="J410">
        <v>100</v>
      </c>
      <c r="K410">
        <v>100</v>
      </c>
      <c r="L410" s="1" t="s">
        <v>1055</v>
      </c>
      <c r="M410" t="s">
        <v>1056</v>
      </c>
      <c r="N410">
        <v>3</v>
      </c>
    </row>
    <row r="411" spans="1:14" x14ac:dyDescent="0.25">
      <c r="A411" s="3" t="str">
        <f>HYPERLINK("http://www.ncbi.nlm.nih.gov/gene/581","581")</f>
        <v>581</v>
      </c>
      <c r="B411" s="1" t="s">
        <v>1057</v>
      </c>
      <c r="C411" t="s">
        <v>1058</v>
      </c>
      <c r="D411">
        <v>131.6</v>
      </c>
      <c r="E411">
        <v>132.30000000000001</v>
      </c>
      <c r="F411">
        <v>98</v>
      </c>
      <c r="G411">
        <v>95.4</v>
      </c>
      <c r="H411">
        <v>142.19999999999999</v>
      </c>
      <c r="I411">
        <v>147</v>
      </c>
      <c r="J411">
        <v>100</v>
      </c>
      <c r="K411">
        <v>100</v>
      </c>
      <c r="L411" s="1" t="s">
        <v>1057</v>
      </c>
      <c r="M411" t="s">
        <v>22</v>
      </c>
      <c r="N411">
        <v>1</v>
      </c>
    </row>
    <row r="412" spans="1:14" x14ac:dyDescent="0.25">
      <c r="A412" s="3" t="str">
        <f>HYPERLINK("http://www.ncbi.nlm.nih.gov/gene/29994","29994")</f>
        <v>29994</v>
      </c>
      <c r="B412" s="1" t="s">
        <v>1059</v>
      </c>
      <c r="C412" t="s">
        <v>1060</v>
      </c>
      <c r="D412">
        <v>149.69999999999999</v>
      </c>
      <c r="E412">
        <v>157</v>
      </c>
      <c r="F412">
        <v>99.9</v>
      </c>
      <c r="G412">
        <v>99</v>
      </c>
      <c r="H412">
        <v>141</v>
      </c>
      <c r="I412">
        <v>144.4</v>
      </c>
      <c r="J412">
        <v>100</v>
      </c>
      <c r="K412">
        <v>100</v>
      </c>
      <c r="L412" s="1" t="s">
        <v>1059</v>
      </c>
      <c r="M412" t="s">
        <v>189</v>
      </c>
      <c r="N412">
        <v>2</v>
      </c>
    </row>
    <row r="413" spans="1:14" x14ac:dyDescent="0.25">
      <c r="A413" s="3" t="str">
        <f>HYPERLINK("http://www.ncbi.nlm.nih.gov/gene/92482","92482")</f>
        <v>92482</v>
      </c>
      <c r="B413" s="1" t="s">
        <v>1061</v>
      </c>
      <c r="C413" t="s">
        <v>1062</v>
      </c>
      <c r="D413">
        <v>146.9</v>
      </c>
      <c r="E413">
        <v>152.5</v>
      </c>
      <c r="F413">
        <v>98.6</v>
      </c>
      <c r="G413">
        <v>92.4</v>
      </c>
      <c r="H413">
        <v>130.19999999999999</v>
      </c>
      <c r="I413">
        <v>134.4</v>
      </c>
      <c r="J413">
        <v>100</v>
      </c>
      <c r="K413">
        <v>100</v>
      </c>
      <c r="L413" s="1" t="s">
        <v>1061</v>
      </c>
      <c r="M413" t="s">
        <v>1063</v>
      </c>
      <c r="N413">
        <v>5</v>
      </c>
    </row>
    <row r="414" spans="1:14" x14ac:dyDescent="0.25">
      <c r="A414" s="3" t="str">
        <f>HYPERLINK("http://www.ncbi.nlm.nih.gov/gene/582","582")</f>
        <v>582</v>
      </c>
      <c r="B414" s="1" t="s">
        <v>1064</v>
      </c>
      <c r="C414" t="s">
        <v>1065</v>
      </c>
      <c r="D414">
        <v>163.4</v>
      </c>
      <c r="E414">
        <v>172.8</v>
      </c>
      <c r="F414">
        <v>100</v>
      </c>
      <c r="G414">
        <v>100</v>
      </c>
      <c r="H414">
        <v>141.69999999999999</v>
      </c>
      <c r="I414">
        <v>145.4</v>
      </c>
      <c r="J414">
        <v>100</v>
      </c>
      <c r="K414">
        <v>100</v>
      </c>
      <c r="L414" s="1" t="s">
        <v>1064</v>
      </c>
      <c r="M414" t="s">
        <v>1066</v>
      </c>
      <c r="N414">
        <v>6</v>
      </c>
    </row>
    <row r="415" spans="1:14" x14ac:dyDescent="0.25">
      <c r="A415" s="3" t="str">
        <f>HYPERLINK("http://www.ncbi.nlm.nih.gov/gene/79738","79738")</f>
        <v>79738</v>
      </c>
      <c r="B415" s="1" t="s">
        <v>1067</v>
      </c>
      <c r="C415" t="s">
        <v>1068</v>
      </c>
      <c r="D415">
        <v>164.8</v>
      </c>
      <c r="E415">
        <v>168.2</v>
      </c>
      <c r="F415">
        <v>100</v>
      </c>
      <c r="G415">
        <v>99.8</v>
      </c>
      <c r="H415">
        <v>146.6</v>
      </c>
      <c r="I415">
        <v>146.80000000000001</v>
      </c>
      <c r="J415">
        <v>100</v>
      </c>
      <c r="K415">
        <v>100</v>
      </c>
      <c r="L415" s="1" t="s">
        <v>1067</v>
      </c>
      <c r="M415" t="s">
        <v>372</v>
      </c>
      <c r="N415">
        <v>6</v>
      </c>
    </row>
    <row r="416" spans="1:14" x14ac:dyDescent="0.25">
      <c r="A416" s="3" t="str">
        <f>HYPERLINK("http://www.ncbi.nlm.nih.gov/gene/166379","166379")</f>
        <v>166379</v>
      </c>
      <c r="B416" s="1" t="s">
        <v>1069</v>
      </c>
      <c r="C416" t="s">
        <v>1070</v>
      </c>
      <c r="D416">
        <v>214</v>
      </c>
      <c r="E416">
        <v>212.9</v>
      </c>
      <c r="F416">
        <v>100</v>
      </c>
      <c r="G416">
        <v>100</v>
      </c>
      <c r="H416">
        <v>150.80000000000001</v>
      </c>
      <c r="I416">
        <v>153.69999999999999</v>
      </c>
      <c r="J416">
        <v>100</v>
      </c>
      <c r="K416">
        <v>100</v>
      </c>
      <c r="L416" s="1" t="s">
        <v>1069</v>
      </c>
      <c r="M416" t="s">
        <v>372</v>
      </c>
      <c r="N416">
        <v>6</v>
      </c>
    </row>
    <row r="417" spans="1:14" x14ac:dyDescent="0.25">
      <c r="A417" s="3" t="str">
        <f>HYPERLINK("http://www.ncbi.nlm.nih.gov/gene/583","583")</f>
        <v>583</v>
      </c>
      <c r="B417" s="1" t="s">
        <v>1071</v>
      </c>
      <c r="C417" t="s">
        <v>1072</v>
      </c>
      <c r="D417">
        <v>173.4</v>
      </c>
      <c r="E417">
        <v>180</v>
      </c>
      <c r="F417">
        <v>100</v>
      </c>
      <c r="G417">
        <v>99.5</v>
      </c>
      <c r="H417">
        <v>130.30000000000001</v>
      </c>
      <c r="I417">
        <v>133.9</v>
      </c>
      <c r="J417">
        <v>100</v>
      </c>
      <c r="K417">
        <v>100</v>
      </c>
      <c r="L417" s="1" t="s">
        <v>1071</v>
      </c>
      <c r="M417" t="s">
        <v>372</v>
      </c>
      <c r="N417">
        <v>6</v>
      </c>
    </row>
    <row r="418" spans="1:14" x14ac:dyDescent="0.25">
      <c r="A418" s="3" t="str">
        <f>HYPERLINK("http://www.ncbi.nlm.nih.gov/gene/585","585")</f>
        <v>585</v>
      </c>
      <c r="B418" s="1" t="s">
        <v>1073</v>
      </c>
      <c r="D418">
        <v>125.1</v>
      </c>
      <c r="E418">
        <v>127.5</v>
      </c>
      <c r="F418">
        <v>99.9</v>
      </c>
      <c r="G418">
        <v>99.3</v>
      </c>
      <c r="H418">
        <v>120.4</v>
      </c>
      <c r="I418">
        <v>123</v>
      </c>
      <c r="J418">
        <v>100</v>
      </c>
      <c r="K418">
        <v>100</v>
      </c>
      <c r="L418" s="1" t="s">
        <v>1073</v>
      </c>
      <c r="M418" t="s">
        <v>372</v>
      </c>
      <c r="N418">
        <v>6</v>
      </c>
    </row>
    <row r="419" spans="1:14" x14ac:dyDescent="0.25">
      <c r="A419" s="3" t="str">
        <f>HYPERLINK("http://www.ncbi.nlm.nih.gov/gene/129880","129880")</f>
        <v>129880</v>
      </c>
      <c r="B419" s="1" t="s">
        <v>1074</v>
      </c>
      <c r="D419">
        <v>111.3</v>
      </c>
      <c r="E419">
        <v>113</v>
      </c>
      <c r="F419">
        <v>99</v>
      </c>
      <c r="G419">
        <v>93.9</v>
      </c>
      <c r="H419">
        <v>109.4</v>
      </c>
      <c r="I419">
        <v>111.2</v>
      </c>
      <c r="J419">
        <v>100</v>
      </c>
      <c r="K419">
        <v>100</v>
      </c>
      <c r="L419" s="1" t="s">
        <v>1074</v>
      </c>
      <c r="M419" t="s">
        <v>372</v>
      </c>
      <c r="N419">
        <v>6</v>
      </c>
    </row>
    <row r="420" spans="1:14" x14ac:dyDescent="0.25">
      <c r="A420" s="3" t="str">
        <f>HYPERLINK("http://www.ncbi.nlm.nih.gov/gene/55212","55212")</f>
        <v>55212</v>
      </c>
      <c r="B420" s="1" t="s">
        <v>1075</v>
      </c>
      <c r="C420" t="s">
        <v>1076</v>
      </c>
      <c r="D420">
        <v>168.3</v>
      </c>
      <c r="E420">
        <v>173.7</v>
      </c>
      <c r="F420">
        <v>98.7</v>
      </c>
      <c r="G420">
        <v>95.5</v>
      </c>
      <c r="H420">
        <v>131.19999999999999</v>
      </c>
      <c r="I420">
        <v>135.5</v>
      </c>
      <c r="J420">
        <v>100</v>
      </c>
      <c r="K420">
        <v>100</v>
      </c>
      <c r="L420" s="1" t="s">
        <v>1075</v>
      </c>
      <c r="M420" t="s">
        <v>372</v>
      </c>
      <c r="N420">
        <v>6</v>
      </c>
    </row>
    <row r="421" spans="1:14" x14ac:dyDescent="0.25">
      <c r="A421" s="3" t="str">
        <f>HYPERLINK("http://www.ncbi.nlm.nih.gov/gene/27241","27241")</f>
        <v>27241</v>
      </c>
      <c r="B421" s="1" t="s">
        <v>1077</v>
      </c>
      <c r="C421" t="s">
        <v>1078</v>
      </c>
      <c r="D421">
        <v>116.7</v>
      </c>
      <c r="E421">
        <v>121.8</v>
      </c>
      <c r="F421">
        <v>92.3</v>
      </c>
      <c r="G421">
        <v>90.4</v>
      </c>
      <c r="H421">
        <v>124.7</v>
      </c>
      <c r="I421">
        <v>128.1</v>
      </c>
      <c r="J421">
        <v>95.8</v>
      </c>
      <c r="K421">
        <v>95.8</v>
      </c>
      <c r="L421" s="1" t="s">
        <v>1077</v>
      </c>
      <c r="M421" t="s">
        <v>372</v>
      </c>
      <c r="N421">
        <v>6</v>
      </c>
    </row>
    <row r="422" spans="1:14" x14ac:dyDescent="0.25">
      <c r="A422" s="3" t="str">
        <f>HYPERLINK("http://www.ncbi.nlm.nih.gov/gene/10134","10134")</f>
        <v>10134</v>
      </c>
      <c r="B422" s="1" t="s">
        <v>1079</v>
      </c>
      <c r="C422" t="s">
        <v>1080</v>
      </c>
      <c r="D422">
        <v>78.2</v>
      </c>
      <c r="E422">
        <v>80</v>
      </c>
      <c r="F422">
        <v>92.6</v>
      </c>
      <c r="G422">
        <v>83.2</v>
      </c>
      <c r="H422">
        <v>116.3</v>
      </c>
      <c r="I422">
        <v>119.4</v>
      </c>
      <c r="J422">
        <v>100</v>
      </c>
      <c r="K422">
        <v>99.9</v>
      </c>
      <c r="L422" s="1" t="s">
        <v>1079</v>
      </c>
      <c r="M422" t="s">
        <v>1081</v>
      </c>
      <c r="N422">
        <v>5</v>
      </c>
    </row>
    <row r="423" spans="1:14" x14ac:dyDescent="0.25">
      <c r="A423" s="3" t="str">
        <f>HYPERLINK("http://www.ncbi.nlm.nih.gov/gene/586","586")</f>
        <v>586</v>
      </c>
      <c r="B423" s="1" t="s">
        <v>1082</v>
      </c>
      <c r="C423" t="s">
        <v>1083</v>
      </c>
      <c r="D423">
        <v>169.3</v>
      </c>
      <c r="E423">
        <v>177</v>
      </c>
      <c r="F423">
        <v>100</v>
      </c>
      <c r="G423">
        <v>100</v>
      </c>
      <c r="H423">
        <v>144.4</v>
      </c>
      <c r="I423">
        <v>148.5</v>
      </c>
      <c r="J423">
        <v>100</v>
      </c>
      <c r="K423">
        <v>100</v>
      </c>
      <c r="L423" s="1" t="s">
        <v>1082</v>
      </c>
      <c r="M423" t="s">
        <v>93</v>
      </c>
      <c r="N423">
        <v>2</v>
      </c>
    </row>
    <row r="424" spans="1:14" x14ac:dyDescent="0.25">
      <c r="A424" s="3" t="str">
        <f>HYPERLINK("http://www.ncbi.nlm.nih.gov/gene/587","587")</f>
        <v>587</v>
      </c>
      <c r="B424" s="1" t="s">
        <v>1084</v>
      </c>
      <c r="C424" t="s">
        <v>1085</v>
      </c>
      <c r="D424">
        <v>147.5</v>
      </c>
      <c r="E424">
        <v>151.5</v>
      </c>
      <c r="F424">
        <v>100</v>
      </c>
      <c r="G424">
        <v>100</v>
      </c>
      <c r="H424">
        <v>144.80000000000001</v>
      </c>
      <c r="I424">
        <v>147.69999999999999</v>
      </c>
      <c r="J424">
        <v>100</v>
      </c>
      <c r="K424">
        <v>100</v>
      </c>
      <c r="L424" s="1" t="s">
        <v>1084</v>
      </c>
      <c r="M424" t="s">
        <v>93</v>
      </c>
      <c r="N424">
        <v>2</v>
      </c>
    </row>
    <row r="425" spans="1:14" x14ac:dyDescent="0.25">
      <c r="A425" s="3" t="str">
        <f>HYPERLINK("http://www.ncbi.nlm.nih.gov/gene/590","590")</f>
        <v>590</v>
      </c>
      <c r="B425" s="1" t="s">
        <v>1086</v>
      </c>
      <c r="C425" t="s">
        <v>1087</v>
      </c>
      <c r="D425">
        <v>212.1</v>
      </c>
      <c r="E425">
        <v>207.7</v>
      </c>
      <c r="F425">
        <v>100</v>
      </c>
      <c r="G425">
        <v>99.9</v>
      </c>
      <c r="H425">
        <v>150.19999999999999</v>
      </c>
      <c r="I425">
        <v>151.1</v>
      </c>
      <c r="J425">
        <v>100</v>
      </c>
      <c r="K425">
        <v>100</v>
      </c>
      <c r="L425" s="1" t="s">
        <v>1086</v>
      </c>
      <c r="M425" t="s">
        <v>22</v>
      </c>
      <c r="N425">
        <v>1</v>
      </c>
    </row>
    <row r="426" spans="1:14" x14ac:dyDescent="0.25">
      <c r="A426" s="3" t="str">
        <f>HYPERLINK("http://www.ncbi.nlm.nih.gov/gene/593","593")</f>
        <v>593</v>
      </c>
      <c r="B426" s="1" t="s">
        <v>1088</v>
      </c>
      <c r="C426" t="s">
        <v>1089</v>
      </c>
      <c r="D426">
        <v>191.5</v>
      </c>
      <c r="E426">
        <v>200.1</v>
      </c>
      <c r="F426">
        <v>99.9</v>
      </c>
      <c r="G426">
        <v>99.2</v>
      </c>
      <c r="H426">
        <v>138.80000000000001</v>
      </c>
      <c r="I426">
        <v>142.80000000000001</v>
      </c>
      <c r="J426">
        <v>100</v>
      </c>
      <c r="K426">
        <v>100</v>
      </c>
      <c r="L426" s="1" t="s">
        <v>1088</v>
      </c>
      <c r="M426" t="s">
        <v>703</v>
      </c>
      <c r="N426">
        <v>5</v>
      </c>
    </row>
    <row r="427" spans="1:14" x14ac:dyDescent="0.25">
      <c r="A427" s="3" t="str">
        <f>HYPERLINK("http://www.ncbi.nlm.nih.gov/gene/594","594")</f>
        <v>594</v>
      </c>
      <c r="B427" s="1" t="s">
        <v>1090</v>
      </c>
      <c r="C427" t="s">
        <v>1091</v>
      </c>
      <c r="D427">
        <v>142.80000000000001</v>
      </c>
      <c r="E427">
        <v>146.80000000000001</v>
      </c>
      <c r="F427">
        <v>99.5</v>
      </c>
      <c r="G427">
        <v>94.4</v>
      </c>
      <c r="H427">
        <v>135.80000000000001</v>
      </c>
      <c r="I427">
        <v>139.19999999999999</v>
      </c>
      <c r="J427">
        <v>100</v>
      </c>
      <c r="K427">
        <v>100</v>
      </c>
      <c r="L427" s="1" t="s">
        <v>1090</v>
      </c>
      <c r="M427" t="s">
        <v>703</v>
      </c>
      <c r="N427">
        <v>5</v>
      </c>
    </row>
    <row r="428" spans="1:14" x14ac:dyDescent="0.25">
      <c r="A428" s="3" t="str">
        <f>HYPERLINK("http://www.ncbi.nlm.nih.gov/gene/10295","10295")</f>
        <v>10295</v>
      </c>
      <c r="B428" s="1" t="s">
        <v>1092</v>
      </c>
      <c r="C428" t="s">
        <v>1093</v>
      </c>
      <c r="D428">
        <v>204.7</v>
      </c>
      <c r="E428">
        <v>215.7</v>
      </c>
      <c r="F428">
        <v>100</v>
      </c>
      <c r="G428">
        <v>100</v>
      </c>
      <c r="H428">
        <v>135.6</v>
      </c>
      <c r="I428">
        <v>138.9</v>
      </c>
      <c r="J428">
        <v>100</v>
      </c>
      <c r="K428">
        <v>100</v>
      </c>
      <c r="L428" s="1" t="s">
        <v>1092</v>
      </c>
      <c r="M428" t="s">
        <v>1094</v>
      </c>
      <c r="N428">
        <v>4</v>
      </c>
    </row>
    <row r="429" spans="1:14" x14ac:dyDescent="0.25">
      <c r="A429" s="3" t="str">
        <f>HYPERLINK("http://www.ncbi.nlm.nih.gov/gene/8915","8915")</f>
        <v>8915</v>
      </c>
      <c r="B429" s="1" t="s">
        <v>1095</v>
      </c>
      <c r="C429" t="s">
        <v>1096</v>
      </c>
      <c r="D429">
        <v>146.30000000000001</v>
      </c>
      <c r="E429">
        <v>149.9</v>
      </c>
      <c r="F429">
        <v>100</v>
      </c>
      <c r="G429">
        <v>100</v>
      </c>
      <c r="H429">
        <v>150.1</v>
      </c>
      <c r="I429">
        <v>155.6</v>
      </c>
      <c r="J429">
        <v>100</v>
      </c>
      <c r="K429">
        <v>100</v>
      </c>
      <c r="L429" s="1" t="s">
        <v>1095</v>
      </c>
      <c r="M429" t="s">
        <v>1097</v>
      </c>
      <c r="N429">
        <v>3</v>
      </c>
    </row>
    <row r="430" spans="1:14" x14ac:dyDescent="0.25">
      <c r="A430" s="3" t="str">
        <f>HYPERLINK("http://www.ncbi.nlm.nih.gov/gene/53335","53335")</f>
        <v>53335</v>
      </c>
      <c r="B430" s="1" t="s">
        <v>1098</v>
      </c>
      <c r="C430" t="s">
        <v>1099</v>
      </c>
      <c r="D430">
        <v>142.4</v>
      </c>
      <c r="E430">
        <v>144.6</v>
      </c>
      <c r="F430">
        <v>97.7</v>
      </c>
      <c r="G430">
        <v>96</v>
      </c>
      <c r="H430">
        <v>153.69999999999999</v>
      </c>
      <c r="I430">
        <v>151.80000000000001</v>
      </c>
      <c r="J430">
        <v>100</v>
      </c>
      <c r="K430">
        <v>100</v>
      </c>
      <c r="L430" s="1" t="s">
        <v>1098</v>
      </c>
      <c r="M430" t="s">
        <v>189</v>
      </c>
      <c r="N430">
        <v>2</v>
      </c>
    </row>
    <row r="431" spans="1:14" x14ac:dyDescent="0.25">
      <c r="A431" s="3" t="str">
        <f>HYPERLINK("http://www.ncbi.nlm.nih.gov/gene/64919","64919")</f>
        <v>64919</v>
      </c>
      <c r="B431" s="1" t="s">
        <v>1100</v>
      </c>
      <c r="C431" t="s">
        <v>1101</v>
      </c>
      <c r="D431">
        <v>102.4</v>
      </c>
      <c r="E431">
        <v>97.4</v>
      </c>
      <c r="F431">
        <v>99.1</v>
      </c>
      <c r="G431">
        <v>95.6</v>
      </c>
      <c r="H431">
        <v>144.6</v>
      </c>
      <c r="I431">
        <v>151.80000000000001</v>
      </c>
      <c r="J431">
        <v>98.8</v>
      </c>
      <c r="K431">
        <v>97.3</v>
      </c>
      <c r="L431" s="1" t="s">
        <v>1100</v>
      </c>
      <c r="M431" t="s">
        <v>1102</v>
      </c>
      <c r="N431">
        <v>4</v>
      </c>
    </row>
    <row r="432" spans="1:14" x14ac:dyDescent="0.25">
      <c r="A432" s="3" t="str">
        <f>HYPERLINK("http://www.ncbi.nlm.nih.gov/gene/596","596")</f>
        <v>596</v>
      </c>
      <c r="B432" s="1" t="s">
        <v>1103</v>
      </c>
      <c r="C432" t="s">
        <v>1104</v>
      </c>
      <c r="D432">
        <v>194</v>
      </c>
      <c r="E432">
        <v>200.1</v>
      </c>
      <c r="F432">
        <v>100</v>
      </c>
      <c r="G432">
        <v>100</v>
      </c>
      <c r="H432">
        <v>172</v>
      </c>
      <c r="I432">
        <v>174.3</v>
      </c>
      <c r="J432">
        <v>100</v>
      </c>
      <c r="K432">
        <v>100</v>
      </c>
      <c r="L432" s="1" t="s">
        <v>1103</v>
      </c>
      <c r="M432" t="s">
        <v>22</v>
      </c>
      <c r="N432">
        <v>1</v>
      </c>
    </row>
    <row r="433" spans="1:14" x14ac:dyDescent="0.25">
      <c r="A433" s="3" t="str">
        <f>HYPERLINK("http://www.ncbi.nlm.nih.gov/gene/605","605")</f>
        <v>605</v>
      </c>
      <c r="B433" s="1" t="s">
        <v>1105</v>
      </c>
      <c r="C433" t="s">
        <v>1106</v>
      </c>
      <c r="D433">
        <v>161.5</v>
      </c>
      <c r="E433">
        <v>173.2</v>
      </c>
      <c r="F433">
        <v>100</v>
      </c>
      <c r="G433">
        <v>100</v>
      </c>
      <c r="H433">
        <v>124</v>
      </c>
      <c r="I433">
        <v>128.4</v>
      </c>
      <c r="J433">
        <v>100</v>
      </c>
      <c r="K433">
        <v>100</v>
      </c>
      <c r="L433" s="1" t="s">
        <v>1105</v>
      </c>
      <c r="M433" t="s">
        <v>22</v>
      </c>
      <c r="N433">
        <v>1</v>
      </c>
    </row>
    <row r="434" spans="1:14" x14ac:dyDescent="0.25">
      <c r="A434" s="3" t="str">
        <f>HYPERLINK("http://www.ncbi.nlm.nih.gov/gene/53630","53630")</f>
        <v>53630</v>
      </c>
      <c r="B434" s="1" t="s">
        <v>1107</v>
      </c>
      <c r="C434" t="s">
        <v>1108</v>
      </c>
      <c r="D434">
        <v>139.69999999999999</v>
      </c>
      <c r="E434">
        <v>144.1</v>
      </c>
      <c r="F434">
        <v>100</v>
      </c>
      <c r="G434">
        <v>100</v>
      </c>
      <c r="H434">
        <v>143.6</v>
      </c>
      <c r="I434">
        <v>147.69999999999999</v>
      </c>
      <c r="J434">
        <v>100</v>
      </c>
      <c r="K434">
        <v>100</v>
      </c>
      <c r="L434" s="1" t="s">
        <v>1107</v>
      </c>
      <c r="M434" t="s">
        <v>406</v>
      </c>
      <c r="N434">
        <v>2</v>
      </c>
    </row>
    <row r="435" spans="1:14" x14ac:dyDescent="0.25">
      <c r="A435" s="3" t="str">
        <f>HYPERLINK("http://www.ncbi.nlm.nih.gov/gene/54880","54880")</f>
        <v>54880</v>
      </c>
      <c r="B435" s="1" t="s">
        <v>1109</v>
      </c>
      <c r="C435" t="s">
        <v>1110</v>
      </c>
      <c r="D435">
        <v>116.5</v>
      </c>
      <c r="E435">
        <v>117.1</v>
      </c>
      <c r="F435">
        <v>99.6</v>
      </c>
      <c r="G435">
        <v>97.4</v>
      </c>
      <c r="H435">
        <v>146.1</v>
      </c>
      <c r="I435">
        <v>147.6</v>
      </c>
      <c r="J435">
        <v>100</v>
      </c>
      <c r="K435">
        <v>99.9</v>
      </c>
      <c r="L435" s="1" t="s">
        <v>1109</v>
      </c>
      <c r="M435" t="s">
        <v>1111</v>
      </c>
      <c r="N435">
        <v>6</v>
      </c>
    </row>
    <row r="436" spans="1:14" x14ac:dyDescent="0.25">
      <c r="A436" s="3" t="str">
        <f>HYPERLINK("http://www.ncbi.nlm.nih.gov/gene/63035","63035")</f>
        <v>63035</v>
      </c>
      <c r="B436" s="1" t="s">
        <v>1112</v>
      </c>
      <c r="C436" t="s">
        <v>1113</v>
      </c>
      <c r="D436">
        <v>169.3</v>
      </c>
      <c r="E436">
        <v>167</v>
      </c>
      <c r="F436">
        <v>99.6</v>
      </c>
      <c r="G436">
        <v>97.9</v>
      </c>
      <c r="H436">
        <v>153.9</v>
      </c>
      <c r="I436">
        <v>155.80000000000001</v>
      </c>
      <c r="J436">
        <v>100</v>
      </c>
      <c r="K436">
        <v>100</v>
      </c>
      <c r="L436" s="1" t="s">
        <v>1112</v>
      </c>
      <c r="M436" t="s">
        <v>1114</v>
      </c>
      <c r="N436">
        <v>2</v>
      </c>
    </row>
    <row r="437" spans="1:14" x14ac:dyDescent="0.25">
      <c r="A437" s="3" t="str">
        <f>HYPERLINK("http://www.ncbi.nlm.nih.gov/gene/617","617")</f>
        <v>617</v>
      </c>
      <c r="B437" s="1" t="s">
        <v>1115</v>
      </c>
      <c r="C437" t="s">
        <v>1116</v>
      </c>
      <c r="D437">
        <v>152.19999999999999</v>
      </c>
      <c r="E437">
        <v>158</v>
      </c>
      <c r="F437">
        <v>100</v>
      </c>
      <c r="G437">
        <v>100</v>
      </c>
      <c r="H437">
        <v>139</v>
      </c>
      <c r="I437">
        <v>144.9</v>
      </c>
      <c r="J437">
        <v>100</v>
      </c>
      <c r="K437">
        <v>100</v>
      </c>
      <c r="L437" s="1" t="s">
        <v>1115</v>
      </c>
      <c r="M437" t="s">
        <v>1117</v>
      </c>
      <c r="N437">
        <v>8</v>
      </c>
    </row>
    <row r="438" spans="1:14" x14ac:dyDescent="0.25">
      <c r="A438" s="3" t="str">
        <f>HYPERLINK("http://www.ncbi.nlm.nih.gov/gene/55814","55814")</f>
        <v>55814</v>
      </c>
      <c r="B438" s="1" t="s">
        <v>1118</v>
      </c>
      <c r="C438" t="s">
        <v>1119</v>
      </c>
      <c r="D438">
        <v>129.19999999999999</v>
      </c>
      <c r="E438">
        <v>131</v>
      </c>
      <c r="F438">
        <v>98.8</v>
      </c>
      <c r="G438">
        <v>95.3</v>
      </c>
      <c r="H438">
        <v>188.8</v>
      </c>
      <c r="I438">
        <v>193.6</v>
      </c>
      <c r="J438">
        <v>100</v>
      </c>
      <c r="K438">
        <v>100</v>
      </c>
      <c r="L438" s="1" t="s">
        <v>1118</v>
      </c>
      <c r="M438" t="s">
        <v>1120</v>
      </c>
      <c r="N438">
        <v>2</v>
      </c>
    </row>
    <row r="439" spans="1:14" x14ac:dyDescent="0.25">
      <c r="A439" s="3" t="str">
        <f>HYPERLINK("http://www.ncbi.nlm.nih.gov/gene/146227","146227")</f>
        <v>146227</v>
      </c>
      <c r="B439" s="1" t="s">
        <v>1121</v>
      </c>
      <c r="C439" t="s">
        <v>1122</v>
      </c>
      <c r="D439">
        <v>155.4</v>
      </c>
      <c r="E439">
        <v>157.80000000000001</v>
      </c>
      <c r="F439">
        <v>98.7</v>
      </c>
      <c r="G439">
        <v>96.4</v>
      </c>
      <c r="H439">
        <v>160.19999999999999</v>
      </c>
      <c r="I439">
        <v>163.4</v>
      </c>
      <c r="J439">
        <v>92.2</v>
      </c>
      <c r="K439">
        <v>92.2</v>
      </c>
      <c r="L439" s="1" t="s">
        <v>1121</v>
      </c>
      <c r="M439" t="s">
        <v>285</v>
      </c>
      <c r="N439">
        <v>1</v>
      </c>
    </row>
    <row r="440" spans="1:14" x14ac:dyDescent="0.25">
      <c r="A440" s="3" t="str">
        <f>HYPERLINK("http://www.ncbi.nlm.nih.gov/gene/8678","8678")</f>
        <v>8678</v>
      </c>
      <c r="B440" s="1" t="s">
        <v>1123</v>
      </c>
      <c r="C440" t="s">
        <v>1124</v>
      </c>
      <c r="D440">
        <v>121.2</v>
      </c>
      <c r="E440">
        <v>125.8</v>
      </c>
      <c r="F440">
        <v>100</v>
      </c>
      <c r="G440">
        <v>100</v>
      </c>
      <c r="H440">
        <v>147.30000000000001</v>
      </c>
      <c r="I440">
        <v>151.5</v>
      </c>
      <c r="J440">
        <v>100</v>
      </c>
      <c r="K440">
        <v>100</v>
      </c>
      <c r="L440" s="1" t="s">
        <v>1123</v>
      </c>
      <c r="M440" t="s">
        <v>1125</v>
      </c>
      <c r="N440">
        <v>2</v>
      </c>
    </row>
    <row r="441" spans="1:14" x14ac:dyDescent="0.25">
      <c r="A441" s="3" t="str">
        <f>HYPERLINK("http://www.ncbi.nlm.nih.gov/gene/7439","7439")</f>
        <v>7439</v>
      </c>
      <c r="B441" s="1" t="s">
        <v>1126</v>
      </c>
      <c r="C441" t="s">
        <v>1127</v>
      </c>
      <c r="D441">
        <v>147.9</v>
      </c>
      <c r="E441">
        <v>147.6</v>
      </c>
      <c r="F441">
        <v>99.4</v>
      </c>
      <c r="G441">
        <v>96.4</v>
      </c>
      <c r="H441">
        <v>138.1</v>
      </c>
      <c r="I441">
        <v>143</v>
      </c>
      <c r="J441">
        <v>99.9</v>
      </c>
      <c r="K441">
        <v>99.4</v>
      </c>
      <c r="L441" s="1" t="s">
        <v>1126</v>
      </c>
      <c r="M441" t="s">
        <v>302</v>
      </c>
      <c r="N441">
        <v>2</v>
      </c>
    </row>
    <row r="442" spans="1:14" x14ac:dyDescent="0.25">
      <c r="A442" s="3" t="str">
        <f>HYPERLINK("http://www.ncbi.nlm.nih.gov/gene/631","631")</f>
        <v>631</v>
      </c>
      <c r="B442" s="1" t="s">
        <v>1128</v>
      </c>
      <c r="C442" t="s">
        <v>1129</v>
      </c>
      <c r="D442">
        <v>112.6</v>
      </c>
      <c r="E442">
        <v>111.8</v>
      </c>
      <c r="F442">
        <v>99</v>
      </c>
      <c r="G442">
        <v>89.9</v>
      </c>
      <c r="H442">
        <v>138.80000000000001</v>
      </c>
      <c r="I442">
        <v>140</v>
      </c>
      <c r="J442">
        <v>100</v>
      </c>
      <c r="K442">
        <v>99.9</v>
      </c>
      <c r="L442" s="1" t="s">
        <v>1128</v>
      </c>
      <c r="M442" t="s">
        <v>1130</v>
      </c>
      <c r="N442">
        <v>3</v>
      </c>
    </row>
    <row r="443" spans="1:14" x14ac:dyDescent="0.25">
      <c r="A443" s="3" t="str">
        <f>HYPERLINK("http://www.ncbi.nlm.nih.gov/gene/8419","8419")</f>
        <v>8419</v>
      </c>
      <c r="B443" s="1" t="s">
        <v>1131</v>
      </c>
      <c r="C443" t="s">
        <v>1132</v>
      </c>
      <c r="D443">
        <v>97.9</v>
      </c>
      <c r="E443">
        <v>94.5</v>
      </c>
      <c r="F443">
        <v>99.8</v>
      </c>
      <c r="G443">
        <v>97.6</v>
      </c>
      <c r="H443">
        <v>146.69999999999999</v>
      </c>
      <c r="I443">
        <v>142.1</v>
      </c>
      <c r="J443">
        <v>100</v>
      </c>
      <c r="K443">
        <v>100</v>
      </c>
      <c r="L443" s="1" t="s">
        <v>1131</v>
      </c>
      <c r="M443" t="s">
        <v>1133</v>
      </c>
      <c r="N443">
        <v>3</v>
      </c>
    </row>
    <row r="444" spans="1:14" x14ac:dyDescent="0.25">
      <c r="A444" s="3" t="str">
        <f>HYPERLINK("http://www.ncbi.nlm.nih.gov/gene/633","633")</f>
        <v>633</v>
      </c>
      <c r="B444" s="1" t="s">
        <v>1134</v>
      </c>
      <c r="C444" t="s">
        <v>1135</v>
      </c>
      <c r="D444">
        <v>147.5</v>
      </c>
      <c r="E444">
        <v>150.6</v>
      </c>
      <c r="F444">
        <v>100</v>
      </c>
      <c r="G444">
        <v>100</v>
      </c>
      <c r="H444">
        <v>127.4</v>
      </c>
      <c r="I444">
        <v>132.1</v>
      </c>
      <c r="J444">
        <v>100</v>
      </c>
      <c r="K444">
        <v>100</v>
      </c>
      <c r="L444" s="1" t="s">
        <v>1134</v>
      </c>
      <c r="M444" t="s">
        <v>1136</v>
      </c>
      <c r="N444">
        <v>4</v>
      </c>
    </row>
    <row r="445" spans="1:14" x14ac:dyDescent="0.25">
      <c r="A445" s="3" t="str">
        <f>HYPERLINK("http://www.ncbi.nlm.nih.gov/gene/727857","727857")</f>
        <v>727857</v>
      </c>
      <c r="B445" s="1" t="s">
        <v>1137</v>
      </c>
      <c r="C445" t="s">
        <v>1138</v>
      </c>
      <c r="D445">
        <v>33.200000000000003</v>
      </c>
      <c r="E445">
        <v>21.3</v>
      </c>
      <c r="F445">
        <v>70.900000000000006</v>
      </c>
      <c r="G445">
        <v>50.4</v>
      </c>
      <c r="H445">
        <v>94.3</v>
      </c>
      <c r="I445">
        <v>101.8</v>
      </c>
      <c r="J445">
        <v>99.8</v>
      </c>
      <c r="K445">
        <v>97.3</v>
      </c>
      <c r="L445" s="1" t="s">
        <v>1137</v>
      </c>
      <c r="M445" t="s">
        <v>1139</v>
      </c>
      <c r="N445">
        <v>3</v>
      </c>
    </row>
    <row r="446" spans="1:14" x14ac:dyDescent="0.25">
      <c r="A446" s="3" t="str">
        <f>HYPERLINK("http://www.ncbi.nlm.nih.gov/gene/80114","80114")</f>
        <v>80114</v>
      </c>
      <c r="B446" s="1" t="s">
        <v>1140</v>
      </c>
      <c r="C446" t="s">
        <v>1141</v>
      </c>
      <c r="D446">
        <v>155.69999999999999</v>
      </c>
      <c r="E446">
        <v>163.19999999999999</v>
      </c>
      <c r="F446">
        <v>100</v>
      </c>
      <c r="G446">
        <v>100</v>
      </c>
      <c r="H446">
        <v>145.6</v>
      </c>
      <c r="I446">
        <v>150.4</v>
      </c>
      <c r="J446">
        <v>100</v>
      </c>
      <c r="K446">
        <v>100</v>
      </c>
      <c r="L446" s="1" t="s">
        <v>1140</v>
      </c>
      <c r="M446" t="s">
        <v>200</v>
      </c>
      <c r="N446">
        <v>2</v>
      </c>
    </row>
    <row r="447" spans="1:14" x14ac:dyDescent="0.25">
      <c r="A447" s="3" t="str">
        <f>HYPERLINK("http://www.ncbi.nlm.nih.gov/gene/23299","23299")</f>
        <v>23299</v>
      </c>
      <c r="B447" s="1" t="s">
        <v>1142</v>
      </c>
      <c r="C447" t="s">
        <v>1143</v>
      </c>
      <c r="D447">
        <v>141.69999999999999</v>
      </c>
      <c r="E447">
        <v>137</v>
      </c>
      <c r="F447">
        <v>100</v>
      </c>
      <c r="G447">
        <v>99.7</v>
      </c>
      <c r="H447">
        <v>149.69999999999999</v>
      </c>
      <c r="I447">
        <v>154.19999999999999</v>
      </c>
      <c r="J447">
        <v>100</v>
      </c>
      <c r="K447">
        <v>100</v>
      </c>
      <c r="L447" s="1" t="s">
        <v>1142</v>
      </c>
      <c r="M447" t="s">
        <v>1144</v>
      </c>
      <c r="N447">
        <v>4</v>
      </c>
    </row>
    <row r="448" spans="1:14" x14ac:dyDescent="0.25">
      <c r="A448" s="3" t="str">
        <f>HYPERLINK("http://www.ncbi.nlm.nih.gov/gene/274","274")</f>
        <v>274</v>
      </c>
      <c r="B448" s="1" t="s">
        <v>1145</v>
      </c>
      <c r="C448" t="s">
        <v>1146</v>
      </c>
      <c r="D448">
        <v>116.2</v>
      </c>
      <c r="E448">
        <v>119.1</v>
      </c>
      <c r="F448">
        <v>99.6</v>
      </c>
      <c r="G448">
        <v>95.7</v>
      </c>
      <c r="H448">
        <v>136.6</v>
      </c>
      <c r="I448">
        <v>139.19999999999999</v>
      </c>
      <c r="J448">
        <v>100</v>
      </c>
      <c r="K448">
        <v>100</v>
      </c>
      <c r="L448" s="1" t="s">
        <v>1145</v>
      </c>
      <c r="M448" t="s">
        <v>1147</v>
      </c>
      <c r="N448">
        <v>4</v>
      </c>
    </row>
    <row r="449" spans="1:14" x14ac:dyDescent="0.25">
      <c r="A449" s="3" t="str">
        <f>HYPERLINK("http://www.ncbi.nlm.nih.gov/gene/640","640")</f>
        <v>640</v>
      </c>
      <c r="B449" s="1" t="s">
        <v>1148</v>
      </c>
      <c r="C449" t="s">
        <v>1149</v>
      </c>
      <c r="D449">
        <v>132.5</v>
      </c>
      <c r="E449">
        <v>136.1</v>
      </c>
      <c r="F449">
        <v>100</v>
      </c>
      <c r="G449">
        <v>100</v>
      </c>
      <c r="H449">
        <v>134.30000000000001</v>
      </c>
      <c r="I449">
        <v>138.4</v>
      </c>
      <c r="J449">
        <v>100</v>
      </c>
      <c r="K449">
        <v>100</v>
      </c>
      <c r="L449" s="1" t="s">
        <v>1148</v>
      </c>
      <c r="M449" t="s">
        <v>562</v>
      </c>
      <c r="N449">
        <v>2</v>
      </c>
    </row>
    <row r="450" spans="1:14" x14ac:dyDescent="0.25">
      <c r="A450" s="3" t="str">
        <f>HYPERLINK("http://www.ncbi.nlm.nih.gov/gene/641","641")</f>
        <v>641</v>
      </c>
      <c r="B450" s="1" t="s">
        <v>1150</v>
      </c>
      <c r="C450" t="s">
        <v>1151</v>
      </c>
      <c r="D450">
        <v>129.6</v>
      </c>
      <c r="E450">
        <v>133.4</v>
      </c>
      <c r="F450">
        <v>99.8</v>
      </c>
      <c r="G450">
        <v>98.3</v>
      </c>
      <c r="H450">
        <v>121.5</v>
      </c>
      <c r="I450">
        <v>126</v>
      </c>
      <c r="J450">
        <v>100</v>
      </c>
      <c r="K450">
        <v>100</v>
      </c>
      <c r="L450" s="1" t="s">
        <v>1150</v>
      </c>
      <c r="M450" t="s">
        <v>1152</v>
      </c>
      <c r="N450">
        <v>7</v>
      </c>
    </row>
    <row r="451" spans="1:14" x14ac:dyDescent="0.25">
      <c r="A451" s="3" t="str">
        <f>HYPERLINK("http://www.ncbi.nlm.nih.gov/gene/29760","29760")</f>
        <v>29760</v>
      </c>
      <c r="B451" s="1" t="s">
        <v>1153</v>
      </c>
      <c r="C451" t="s">
        <v>1154</v>
      </c>
      <c r="D451">
        <v>103.3</v>
      </c>
      <c r="E451">
        <v>105.4</v>
      </c>
      <c r="F451">
        <v>97.1</v>
      </c>
      <c r="G451">
        <v>95.5</v>
      </c>
      <c r="H451">
        <v>121.5</v>
      </c>
      <c r="I451">
        <v>124</v>
      </c>
      <c r="J451">
        <v>100</v>
      </c>
      <c r="K451">
        <v>100</v>
      </c>
      <c r="L451" s="1" t="s">
        <v>1153</v>
      </c>
      <c r="M451" t="s">
        <v>1097</v>
      </c>
      <c r="N451">
        <v>3</v>
      </c>
    </row>
    <row r="452" spans="1:14" x14ac:dyDescent="0.25">
      <c r="A452" s="3" t="str">
        <f>HYPERLINK("http://www.ncbi.nlm.nih.gov/gene/388552","388552")</f>
        <v>388552</v>
      </c>
      <c r="B452" s="1" t="s">
        <v>1155</v>
      </c>
      <c r="C452" t="s">
        <v>1156</v>
      </c>
      <c r="D452">
        <v>89.2</v>
      </c>
      <c r="E452">
        <v>40.200000000000003</v>
      </c>
      <c r="F452">
        <v>98.5</v>
      </c>
      <c r="G452">
        <v>81.3</v>
      </c>
      <c r="H452">
        <v>108.4</v>
      </c>
      <c r="I452">
        <v>103.7</v>
      </c>
      <c r="J452">
        <v>100</v>
      </c>
      <c r="K452">
        <v>100</v>
      </c>
      <c r="L452" s="1" t="s">
        <v>1155</v>
      </c>
      <c r="M452" t="s">
        <v>1157</v>
      </c>
      <c r="N452">
        <v>5</v>
      </c>
    </row>
    <row r="453" spans="1:14" x14ac:dyDescent="0.25">
      <c r="A453" s="3" t="str">
        <f>HYPERLINK("http://www.ncbi.nlm.nih.gov/gene/63915","63915")</f>
        <v>63915</v>
      </c>
      <c r="B453" s="1" t="s">
        <v>1158</v>
      </c>
      <c r="C453" t="s">
        <v>1159</v>
      </c>
      <c r="D453">
        <v>148.5</v>
      </c>
      <c r="E453">
        <v>153.19999999999999</v>
      </c>
      <c r="F453">
        <v>100</v>
      </c>
      <c r="G453">
        <v>99.2</v>
      </c>
      <c r="H453">
        <v>144.6</v>
      </c>
      <c r="I453">
        <v>148.80000000000001</v>
      </c>
      <c r="J453">
        <v>100</v>
      </c>
      <c r="K453">
        <v>100</v>
      </c>
      <c r="L453" s="1" t="s">
        <v>1158</v>
      </c>
      <c r="M453" t="s">
        <v>817</v>
      </c>
      <c r="N453">
        <v>2</v>
      </c>
    </row>
    <row r="454" spans="1:14" x14ac:dyDescent="0.25">
      <c r="A454" s="3" t="str">
        <f>HYPERLINK("http://www.ncbi.nlm.nih.gov/gene/26258","26258")</f>
        <v>26258</v>
      </c>
      <c r="B454" s="1" t="s">
        <v>1160</v>
      </c>
      <c r="C454" t="s">
        <v>1161</v>
      </c>
      <c r="D454">
        <v>118.6</v>
      </c>
      <c r="E454">
        <v>122</v>
      </c>
      <c r="F454">
        <v>99.9</v>
      </c>
      <c r="G454">
        <v>97.8</v>
      </c>
      <c r="H454">
        <v>114.4</v>
      </c>
      <c r="I454">
        <v>117.1</v>
      </c>
      <c r="J454">
        <v>100</v>
      </c>
      <c r="K454">
        <v>100</v>
      </c>
      <c r="L454" s="1" t="s">
        <v>1160</v>
      </c>
      <c r="M454" t="s">
        <v>1162</v>
      </c>
      <c r="N454">
        <v>6</v>
      </c>
    </row>
    <row r="455" spans="1:14" x14ac:dyDescent="0.25">
      <c r="A455" s="3" t="str">
        <f>HYPERLINK("http://www.ncbi.nlm.nih.gov/gene/644","644")</f>
        <v>644</v>
      </c>
      <c r="B455" s="1" t="s">
        <v>1163</v>
      </c>
      <c r="C455" t="s">
        <v>1164</v>
      </c>
      <c r="D455">
        <v>116.2</v>
      </c>
      <c r="E455">
        <v>120.4</v>
      </c>
      <c r="F455">
        <v>100</v>
      </c>
      <c r="G455">
        <v>99.4</v>
      </c>
      <c r="H455">
        <v>128.80000000000001</v>
      </c>
      <c r="I455">
        <v>132.4</v>
      </c>
      <c r="J455">
        <v>100</v>
      </c>
      <c r="K455">
        <v>100</v>
      </c>
      <c r="L455" s="1" t="s">
        <v>1163</v>
      </c>
      <c r="M455" t="s">
        <v>1165</v>
      </c>
      <c r="N455">
        <v>4</v>
      </c>
    </row>
    <row r="456" spans="1:14" x14ac:dyDescent="0.25">
      <c r="A456" s="3" t="str">
        <f>HYPERLINK("http://www.ncbi.nlm.nih.gov/gene/649","649")</f>
        <v>649</v>
      </c>
      <c r="B456" s="1" t="s">
        <v>1166</v>
      </c>
      <c r="C456" t="s">
        <v>1167</v>
      </c>
      <c r="D456">
        <v>150.9</v>
      </c>
      <c r="E456">
        <v>158.5</v>
      </c>
      <c r="F456">
        <v>100</v>
      </c>
      <c r="G456">
        <v>100</v>
      </c>
      <c r="H456">
        <v>134</v>
      </c>
      <c r="I456">
        <v>138.19999999999999</v>
      </c>
      <c r="J456">
        <v>100</v>
      </c>
      <c r="K456">
        <v>100</v>
      </c>
      <c r="L456" s="1" t="s">
        <v>1166</v>
      </c>
      <c r="M456" t="s">
        <v>1168</v>
      </c>
      <c r="N456">
        <v>3</v>
      </c>
    </row>
    <row r="457" spans="1:14" x14ac:dyDescent="0.25">
      <c r="A457" s="3" t="str">
        <f>HYPERLINK("http://www.ncbi.nlm.nih.gov/gene/9210","9210")</f>
        <v>9210</v>
      </c>
      <c r="B457" s="1" t="s">
        <v>1169</v>
      </c>
      <c r="C457" t="s">
        <v>1170</v>
      </c>
      <c r="D457">
        <v>120.2</v>
      </c>
      <c r="E457">
        <v>126.1</v>
      </c>
      <c r="F457">
        <v>100</v>
      </c>
      <c r="G457">
        <v>99.3</v>
      </c>
      <c r="H457">
        <v>115.3</v>
      </c>
      <c r="I457">
        <v>117.3</v>
      </c>
      <c r="J457">
        <v>100</v>
      </c>
      <c r="K457">
        <v>100</v>
      </c>
      <c r="L457" s="1" t="s">
        <v>1169</v>
      </c>
      <c r="M457" t="s">
        <v>1171</v>
      </c>
      <c r="N457">
        <v>2</v>
      </c>
    </row>
    <row r="458" spans="1:14" x14ac:dyDescent="0.25">
      <c r="A458" s="3" t="str">
        <f>HYPERLINK("http://www.ncbi.nlm.nih.gov/gene/650","650")</f>
        <v>650</v>
      </c>
      <c r="B458" s="1" t="s">
        <v>1172</v>
      </c>
      <c r="C458" t="s">
        <v>1173</v>
      </c>
      <c r="D458">
        <v>180.2</v>
      </c>
      <c r="E458">
        <v>178</v>
      </c>
      <c r="F458">
        <v>100</v>
      </c>
      <c r="G458">
        <v>100</v>
      </c>
      <c r="H458">
        <v>144.4</v>
      </c>
      <c r="I458">
        <v>146.69999999999999</v>
      </c>
      <c r="J458">
        <v>100</v>
      </c>
      <c r="K458">
        <v>100</v>
      </c>
      <c r="L458" s="1" t="s">
        <v>1172</v>
      </c>
      <c r="M458" t="s">
        <v>1174</v>
      </c>
      <c r="N458">
        <v>5</v>
      </c>
    </row>
    <row r="459" spans="1:14" x14ac:dyDescent="0.25">
      <c r="A459" s="3" t="str">
        <f>HYPERLINK("http://www.ncbi.nlm.nih.gov/gene/652","652")</f>
        <v>652</v>
      </c>
      <c r="B459" s="1" t="s">
        <v>1175</v>
      </c>
      <c r="C459" t="s">
        <v>1176</v>
      </c>
      <c r="D459">
        <v>174.1</v>
      </c>
      <c r="E459">
        <v>178.6</v>
      </c>
      <c r="F459">
        <v>100</v>
      </c>
      <c r="G459">
        <v>100</v>
      </c>
      <c r="H459">
        <v>161.9</v>
      </c>
      <c r="I459">
        <v>161.80000000000001</v>
      </c>
      <c r="J459">
        <v>100</v>
      </c>
      <c r="K459">
        <v>100</v>
      </c>
      <c r="L459" s="1" t="s">
        <v>1175</v>
      </c>
      <c r="M459" t="s">
        <v>1177</v>
      </c>
      <c r="N459">
        <v>5</v>
      </c>
    </row>
    <row r="460" spans="1:14" x14ac:dyDescent="0.25">
      <c r="A460" s="3" t="str">
        <f>HYPERLINK("http://www.ncbi.nlm.nih.gov/gene/654","654")</f>
        <v>654</v>
      </c>
      <c r="B460" s="1" t="s">
        <v>1178</v>
      </c>
      <c r="C460" t="s">
        <v>1179</v>
      </c>
      <c r="D460">
        <v>124.6</v>
      </c>
      <c r="E460">
        <v>133.80000000000001</v>
      </c>
      <c r="F460">
        <v>95.7</v>
      </c>
      <c r="G460">
        <v>93.6</v>
      </c>
      <c r="H460">
        <v>131</v>
      </c>
      <c r="I460">
        <v>139.6</v>
      </c>
      <c r="J460">
        <v>99</v>
      </c>
      <c r="K460">
        <v>95.8</v>
      </c>
      <c r="L460" s="1" t="s">
        <v>1178</v>
      </c>
      <c r="M460" t="s">
        <v>62</v>
      </c>
      <c r="N460">
        <v>2</v>
      </c>
    </row>
    <row r="461" spans="1:14" x14ac:dyDescent="0.25">
      <c r="A461" s="3" t="str">
        <f>HYPERLINK("http://www.ncbi.nlm.nih.gov/gene/655","655")</f>
        <v>655</v>
      </c>
      <c r="B461" s="1" t="s">
        <v>1180</v>
      </c>
      <c r="C461" t="s">
        <v>1181</v>
      </c>
      <c r="D461">
        <v>97.9</v>
      </c>
      <c r="E461">
        <v>101.4</v>
      </c>
      <c r="F461">
        <v>99.9</v>
      </c>
      <c r="G461">
        <v>98.5</v>
      </c>
      <c r="H461">
        <v>142.5</v>
      </c>
      <c r="I461">
        <v>147.80000000000001</v>
      </c>
      <c r="J461">
        <v>100</v>
      </c>
      <c r="K461">
        <v>100</v>
      </c>
      <c r="L461" s="1" t="s">
        <v>1180</v>
      </c>
      <c r="M461" t="s">
        <v>840</v>
      </c>
      <c r="N461">
        <v>2</v>
      </c>
    </row>
    <row r="462" spans="1:14" x14ac:dyDescent="0.25">
      <c r="A462" s="3" t="str">
        <f>HYPERLINK("http://www.ncbi.nlm.nih.gov/gene/168667","168667")</f>
        <v>168667</v>
      </c>
      <c r="B462" s="1" t="s">
        <v>1182</v>
      </c>
      <c r="C462" t="s">
        <v>1183</v>
      </c>
      <c r="D462">
        <v>143.30000000000001</v>
      </c>
      <c r="E462">
        <v>148.80000000000001</v>
      </c>
      <c r="F462">
        <v>100</v>
      </c>
      <c r="G462">
        <v>99.8</v>
      </c>
      <c r="H462">
        <v>143.1</v>
      </c>
      <c r="I462">
        <v>146.9</v>
      </c>
      <c r="J462">
        <v>100</v>
      </c>
      <c r="K462">
        <v>100</v>
      </c>
      <c r="L462" s="1" t="s">
        <v>1182</v>
      </c>
      <c r="M462" t="s">
        <v>1184</v>
      </c>
      <c r="N462">
        <v>4</v>
      </c>
    </row>
    <row r="463" spans="1:14" x14ac:dyDescent="0.25">
      <c r="A463" s="3" t="str">
        <f>HYPERLINK("http://www.ncbi.nlm.nih.gov/gene/657","657")</f>
        <v>657</v>
      </c>
      <c r="B463" s="1" t="s">
        <v>1185</v>
      </c>
      <c r="C463" t="s">
        <v>1186</v>
      </c>
      <c r="D463">
        <v>106.1</v>
      </c>
      <c r="E463">
        <v>98</v>
      </c>
      <c r="F463">
        <v>99.8</v>
      </c>
      <c r="G463">
        <v>96.6</v>
      </c>
      <c r="H463">
        <v>140.9</v>
      </c>
      <c r="I463">
        <v>145</v>
      </c>
      <c r="J463">
        <v>100</v>
      </c>
      <c r="K463">
        <v>100</v>
      </c>
      <c r="L463" s="1" t="s">
        <v>1185</v>
      </c>
      <c r="M463" t="s">
        <v>1187</v>
      </c>
      <c r="N463">
        <v>3</v>
      </c>
    </row>
    <row r="464" spans="1:14" x14ac:dyDescent="0.25">
      <c r="A464" s="3" t="str">
        <f>HYPERLINK("http://www.ncbi.nlm.nih.gov/gene/658","658")</f>
        <v>658</v>
      </c>
      <c r="B464" s="1" t="s">
        <v>1188</v>
      </c>
      <c r="C464" t="s">
        <v>1189</v>
      </c>
      <c r="D464">
        <v>169.2</v>
      </c>
      <c r="E464">
        <v>174.3</v>
      </c>
      <c r="F464">
        <v>100</v>
      </c>
      <c r="G464">
        <v>99.9</v>
      </c>
      <c r="H464">
        <v>142.30000000000001</v>
      </c>
      <c r="I464">
        <v>146.80000000000001</v>
      </c>
      <c r="J464">
        <v>100</v>
      </c>
      <c r="K464">
        <v>100</v>
      </c>
      <c r="L464" s="1" t="s">
        <v>1188</v>
      </c>
      <c r="M464" t="s">
        <v>1190</v>
      </c>
      <c r="N464">
        <v>3</v>
      </c>
    </row>
    <row r="465" spans="1:14" x14ac:dyDescent="0.25">
      <c r="A465" s="3" t="str">
        <f>HYPERLINK("http://www.ncbi.nlm.nih.gov/gene/659","659")</f>
        <v>659</v>
      </c>
      <c r="B465" s="1" t="s">
        <v>1191</v>
      </c>
      <c r="C465" t="s">
        <v>1192</v>
      </c>
      <c r="D465">
        <v>181.8</v>
      </c>
      <c r="E465">
        <v>180.4</v>
      </c>
      <c r="F465">
        <v>99.9</v>
      </c>
      <c r="G465">
        <v>99.9</v>
      </c>
      <c r="H465">
        <v>145.5</v>
      </c>
      <c r="I465">
        <v>146.6</v>
      </c>
      <c r="J465">
        <v>99.9</v>
      </c>
      <c r="K465">
        <v>99.9</v>
      </c>
      <c r="L465" s="1" t="s">
        <v>1191</v>
      </c>
      <c r="M465" t="s">
        <v>197</v>
      </c>
      <c r="N465">
        <v>2</v>
      </c>
    </row>
    <row r="466" spans="1:14" x14ac:dyDescent="0.25">
      <c r="A466" s="3" t="str">
        <f>HYPERLINK("http://www.ncbi.nlm.nih.gov/gene/9790","9790")</f>
        <v>9790</v>
      </c>
      <c r="B466" s="1" t="s">
        <v>1193</v>
      </c>
      <c r="C466" t="s">
        <v>1194</v>
      </c>
      <c r="D466">
        <v>95</v>
      </c>
      <c r="E466">
        <v>92.1</v>
      </c>
      <c r="F466">
        <v>66.7</v>
      </c>
      <c r="G466">
        <v>66.400000000000006</v>
      </c>
      <c r="H466">
        <v>135.19999999999999</v>
      </c>
      <c r="I466">
        <v>138.69999999999999</v>
      </c>
      <c r="J466">
        <v>100</v>
      </c>
      <c r="K466">
        <v>100</v>
      </c>
      <c r="L466" s="1" t="s">
        <v>1193</v>
      </c>
      <c r="M466" t="s">
        <v>1195</v>
      </c>
      <c r="N466">
        <v>2</v>
      </c>
    </row>
    <row r="467" spans="1:14" x14ac:dyDescent="0.25">
      <c r="A467" s="3" t="str">
        <f>HYPERLINK("http://www.ncbi.nlm.nih.gov/gene/54796","54796")</f>
        <v>54796</v>
      </c>
      <c r="B467" s="1" t="s">
        <v>1196</v>
      </c>
      <c r="C467" t="s">
        <v>1197</v>
      </c>
      <c r="D467">
        <v>159.19999999999999</v>
      </c>
      <c r="E467">
        <v>149.80000000000001</v>
      </c>
      <c r="F467">
        <v>99.1</v>
      </c>
      <c r="G467">
        <v>99.1</v>
      </c>
      <c r="H467">
        <v>150.5</v>
      </c>
      <c r="I467">
        <v>151.6</v>
      </c>
      <c r="J467">
        <v>100</v>
      </c>
      <c r="K467">
        <v>100</v>
      </c>
      <c r="L467" s="1" t="s">
        <v>1196</v>
      </c>
      <c r="M467" t="s">
        <v>285</v>
      </c>
      <c r="N467">
        <v>1</v>
      </c>
    </row>
    <row r="468" spans="1:14" x14ac:dyDescent="0.25">
      <c r="A468" s="3" t="str">
        <f>HYPERLINK("http://www.ncbi.nlm.nih.gov/gene/664","664")</f>
        <v>664</v>
      </c>
      <c r="B468" s="1" t="s">
        <v>1198</v>
      </c>
      <c r="C468" t="s">
        <v>1199</v>
      </c>
      <c r="D468">
        <v>81.3</v>
      </c>
      <c r="E468">
        <v>80.8</v>
      </c>
      <c r="F468">
        <v>78.3</v>
      </c>
      <c r="G468">
        <v>67.2</v>
      </c>
      <c r="H468">
        <v>132.19999999999999</v>
      </c>
      <c r="I468">
        <v>136.5</v>
      </c>
      <c r="J468">
        <v>100</v>
      </c>
      <c r="K468">
        <v>99.2</v>
      </c>
      <c r="L468" s="1" t="s">
        <v>1198</v>
      </c>
      <c r="M468" t="s">
        <v>661</v>
      </c>
      <c r="N468">
        <v>2</v>
      </c>
    </row>
    <row r="469" spans="1:14" x14ac:dyDescent="0.25">
      <c r="A469" s="3" t="str">
        <f>HYPERLINK("http://www.ncbi.nlm.nih.gov/gene/51027","51027")</f>
        <v>51027</v>
      </c>
      <c r="B469" s="1" t="s">
        <v>1200</v>
      </c>
      <c r="C469" t="s">
        <v>1201</v>
      </c>
      <c r="D469">
        <v>99.3</v>
      </c>
      <c r="E469">
        <v>91.4</v>
      </c>
      <c r="F469">
        <v>100</v>
      </c>
      <c r="G469">
        <v>100</v>
      </c>
      <c r="H469">
        <v>143.80000000000001</v>
      </c>
      <c r="I469">
        <v>138.1</v>
      </c>
      <c r="J469">
        <v>100</v>
      </c>
      <c r="K469">
        <v>100</v>
      </c>
      <c r="L469" s="1" t="s">
        <v>1200</v>
      </c>
      <c r="M469" t="s">
        <v>265</v>
      </c>
      <c r="N469">
        <v>2</v>
      </c>
    </row>
    <row r="470" spans="1:14" x14ac:dyDescent="0.25">
      <c r="A470" s="3" t="str">
        <f>HYPERLINK("http://www.ncbi.nlm.nih.gov/gene/552900","552900")</f>
        <v>552900</v>
      </c>
      <c r="B470" s="1" t="s">
        <v>1202</v>
      </c>
      <c r="C470" t="s">
        <v>1203</v>
      </c>
      <c r="D470">
        <v>115</v>
      </c>
      <c r="E470">
        <v>115.5</v>
      </c>
      <c r="F470">
        <v>100</v>
      </c>
      <c r="G470">
        <v>100</v>
      </c>
      <c r="H470">
        <v>337.1</v>
      </c>
      <c r="I470">
        <v>342.7</v>
      </c>
      <c r="J470">
        <v>100</v>
      </c>
      <c r="K470">
        <v>100</v>
      </c>
      <c r="L470" s="1" t="s">
        <v>1202</v>
      </c>
      <c r="M470" t="s">
        <v>265</v>
      </c>
      <c r="N470">
        <v>2</v>
      </c>
    </row>
    <row r="471" spans="1:14" x14ac:dyDescent="0.25">
      <c r="A471" s="3" t="str">
        <f>HYPERLINK("http://www.ncbi.nlm.nih.gov/gene/388962","388962")</f>
        <v>388962</v>
      </c>
      <c r="B471" s="1" t="s">
        <v>1204</v>
      </c>
      <c r="C471" t="s">
        <v>1205</v>
      </c>
      <c r="D471">
        <v>52.8</v>
      </c>
      <c r="E471">
        <v>50.8</v>
      </c>
      <c r="F471">
        <v>99.4</v>
      </c>
      <c r="G471">
        <v>90.2</v>
      </c>
      <c r="H471">
        <v>139.9</v>
      </c>
      <c r="I471">
        <v>142.4</v>
      </c>
      <c r="J471">
        <v>100</v>
      </c>
      <c r="K471">
        <v>100</v>
      </c>
      <c r="L471" s="1" t="s">
        <v>1204</v>
      </c>
      <c r="M471" t="s">
        <v>1206</v>
      </c>
      <c r="N471">
        <v>5</v>
      </c>
    </row>
    <row r="472" spans="1:14" x14ac:dyDescent="0.25">
      <c r="A472" s="3" t="str">
        <f>HYPERLINK("http://www.ncbi.nlm.nih.gov/gene/669","669")</f>
        <v>669</v>
      </c>
      <c r="B472" s="1" t="s">
        <v>1207</v>
      </c>
      <c r="C472" t="s">
        <v>1208</v>
      </c>
      <c r="D472">
        <v>121.5</v>
      </c>
      <c r="E472">
        <v>117</v>
      </c>
      <c r="F472">
        <v>100</v>
      </c>
      <c r="G472">
        <v>100</v>
      </c>
      <c r="H472">
        <v>137.1</v>
      </c>
      <c r="I472">
        <v>140.4</v>
      </c>
      <c r="J472">
        <v>100</v>
      </c>
      <c r="K472">
        <v>100</v>
      </c>
      <c r="L472" s="1" t="s">
        <v>1207</v>
      </c>
      <c r="M472" t="s">
        <v>116</v>
      </c>
      <c r="N472">
        <v>3</v>
      </c>
    </row>
    <row r="473" spans="1:14" x14ac:dyDescent="0.25">
      <c r="A473" s="3" t="str">
        <f>HYPERLINK("http://www.ncbi.nlm.nih.gov/gene/54928","54928")</f>
        <v>54928</v>
      </c>
      <c r="B473" s="1" t="s">
        <v>1209</v>
      </c>
      <c r="C473" t="s">
        <v>1210</v>
      </c>
      <c r="D473">
        <v>151.4</v>
      </c>
      <c r="E473">
        <v>157.69999999999999</v>
      </c>
      <c r="F473">
        <v>100</v>
      </c>
      <c r="G473">
        <v>100</v>
      </c>
      <c r="H473">
        <v>149.5</v>
      </c>
      <c r="I473">
        <v>153.69999999999999</v>
      </c>
      <c r="J473">
        <v>100</v>
      </c>
      <c r="K473">
        <v>100</v>
      </c>
      <c r="L473" s="1" t="s">
        <v>1211</v>
      </c>
      <c r="M473" t="s">
        <v>1212</v>
      </c>
      <c r="N473">
        <v>6</v>
      </c>
    </row>
    <row r="474" spans="1:14" x14ac:dyDescent="0.25">
      <c r="A474" s="3" t="str">
        <f>HYPERLINK("http://www.ncbi.nlm.nih.gov/gene/2186","2186")</f>
        <v>2186</v>
      </c>
      <c r="B474" s="1" t="s">
        <v>1213</v>
      </c>
      <c r="C474" t="s">
        <v>1214</v>
      </c>
      <c r="D474">
        <v>162.5</v>
      </c>
      <c r="E474">
        <v>162.4</v>
      </c>
      <c r="F474">
        <v>96.2</v>
      </c>
      <c r="G474">
        <v>94.3</v>
      </c>
      <c r="H474">
        <v>134.80000000000001</v>
      </c>
      <c r="I474">
        <v>134.1</v>
      </c>
      <c r="J474">
        <v>99.6</v>
      </c>
      <c r="K474">
        <v>98.6</v>
      </c>
      <c r="L474" s="1" t="s">
        <v>1213</v>
      </c>
      <c r="M474" t="s">
        <v>189</v>
      </c>
      <c r="N474">
        <v>2</v>
      </c>
    </row>
    <row r="475" spans="1:14" x14ac:dyDescent="0.25">
      <c r="A475" s="3" t="str">
        <f>HYPERLINK("http://www.ncbi.nlm.nih.gov/gene/673","673")</f>
        <v>673</v>
      </c>
      <c r="B475" s="1" t="s">
        <v>1215</v>
      </c>
      <c r="C475" t="s">
        <v>1216</v>
      </c>
      <c r="D475">
        <v>78.8</v>
      </c>
      <c r="E475">
        <v>80.599999999999994</v>
      </c>
      <c r="F475">
        <v>91</v>
      </c>
      <c r="G475">
        <v>81.099999999999994</v>
      </c>
      <c r="H475">
        <v>128.9</v>
      </c>
      <c r="I475">
        <v>132.19999999999999</v>
      </c>
      <c r="J475">
        <v>100</v>
      </c>
      <c r="K475">
        <v>100</v>
      </c>
      <c r="L475" s="1" t="s">
        <v>1215</v>
      </c>
      <c r="M475" t="s">
        <v>1217</v>
      </c>
      <c r="N475">
        <v>10</v>
      </c>
    </row>
    <row r="476" spans="1:14" x14ac:dyDescent="0.25">
      <c r="A476" s="3" t="str">
        <f>HYPERLINK("http://www.ncbi.nlm.nih.gov/gene/221927","221927")</f>
        <v>221927</v>
      </c>
      <c r="B476" s="1" t="s">
        <v>1218</v>
      </c>
      <c r="C476" t="s">
        <v>1219</v>
      </c>
      <c r="D476">
        <v>128.69999999999999</v>
      </c>
      <c r="E476">
        <v>131.1</v>
      </c>
      <c r="F476">
        <v>99.7</v>
      </c>
      <c r="G476">
        <v>98.2</v>
      </c>
      <c r="H476">
        <v>145.6</v>
      </c>
      <c r="I476">
        <v>148.4</v>
      </c>
      <c r="J476">
        <v>100</v>
      </c>
      <c r="K476">
        <v>100</v>
      </c>
      <c r="L476" s="1" t="s">
        <v>1218</v>
      </c>
      <c r="M476" t="s">
        <v>1220</v>
      </c>
      <c r="N476">
        <v>4</v>
      </c>
    </row>
    <row r="477" spans="1:14" x14ac:dyDescent="0.25">
      <c r="A477" s="3" t="str">
        <f>HYPERLINK("http://www.ncbi.nlm.nih.gov/gene/672","672")</f>
        <v>672</v>
      </c>
      <c r="B477" s="1" t="s">
        <v>1221</v>
      </c>
      <c r="C477" t="s">
        <v>1222</v>
      </c>
      <c r="D477">
        <v>198.1</v>
      </c>
      <c r="E477">
        <v>195</v>
      </c>
      <c r="F477">
        <v>99.4</v>
      </c>
      <c r="G477">
        <v>98.8</v>
      </c>
      <c r="H477">
        <v>146</v>
      </c>
      <c r="I477">
        <v>145.5</v>
      </c>
      <c r="J477">
        <v>100</v>
      </c>
      <c r="K477">
        <v>100</v>
      </c>
      <c r="L477" s="1" t="s">
        <v>1221</v>
      </c>
      <c r="M477" t="s">
        <v>1223</v>
      </c>
      <c r="N477">
        <v>5</v>
      </c>
    </row>
    <row r="478" spans="1:14" x14ac:dyDescent="0.25">
      <c r="A478" s="3" t="str">
        <f>HYPERLINK("http://www.ncbi.nlm.nih.gov/gene/675","675")</f>
        <v>675</v>
      </c>
      <c r="B478" s="1" t="s">
        <v>1224</v>
      </c>
      <c r="C478" t="s">
        <v>1225</v>
      </c>
      <c r="D478">
        <v>123.1</v>
      </c>
      <c r="E478">
        <v>119.2</v>
      </c>
      <c r="F478">
        <v>99.8</v>
      </c>
      <c r="G478">
        <v>98.5</v>
      </c>
      <c r="H478">
        <v>114.6</v>
      </c>
      <c r="I478">
        <v>114.3</v>
      </c>
      <c r="J478">
        <v>100</v>
      </c>
      <c r="K478">
        <v>100</v>
      </c>
      <c r="L478" s="1" t="s">
        <v>1224</v>
      </c>
      <c r="M478" t="s">
        <v>1226</v>
      </c>
      <c r="N478">
        <v>6</v>
      </c>
    </row>
    <row r="479" spans="1:14" x14ac:dyDescent="0.25">
      <c r="A479" s="3" t="str">
        <f>HYPERLINK("http://www.ncbi.nlm.nih.gov/gene/676","676")</f>
        <v>676</v>
      </c>
      <c r="B479" s="1" t="s">
        <v>1227</v>
      </c>
      <c r="C479" t="s">
        <v>1228</v>
      </c>
      <c r="D479">
        <v>115.6</v>
      </c>
      <c r="E479">
        <v>119.7</v>
      </c>
      <c r="F479">
        <v>95.9</v>
      </c>
      <c r="G479">
        <v>91.6</v>
      </c>
      <c r="H479">
        <v>120.5</v>
      </c>
      <c r="I479">
        <v>124.3</v>
      </c>
      <c r="J479">
        <v>100</v>
      </c>
      <c r="K479">
        <v>100</v>
      </c>
      <c r="L479" s="1" t="s">
        <v>1227</v>
      </c>
      <c r="M479" t="s">
        <v>59</v>
      </c>
      <c r="N479">
        <v>1</v>
      </c>
    </row>
    <row r="480" spans="1:14" x14ac:dyDescent="0.25">
      <c r="A480" s="3" t="str">
        <f>HYPERLINK("http://www.ncbi.nlm.nih.gov/gene/2972","2972")</f>
        <v>2972</v>
      </c>
      <c r="B480" s="1" t="s">
        <v>1229</v>
      </c>
      <c r="C480" t="s">
        <v>1230</v>
      </c>
      <c r="D480">
        <v>105.4</v>
      </c>
      <c r="E480">
        <v>108.8</v>
      </c>
      <c r="F480">
        <v>99.9</v>
      </c>
      <c r="G480">
        <v>98.4</v>
      </c>
      <c r="H480">
        <v>140.1</v>
      </c>
      <c r="I480">
        <v>143.80000000000001</v>
      </c>
      <c r="J480">
        <v>100</v>
      </c>
      <c r="K480">
        <v>100</v>
      </c>
      <c r="L480" s="1" t="s">
        <v>1229</v>
      </c>
      <c r="M480" t="s">
        <v>656</v>
      </c>
      <c r="N480">
        <v>4</v>
      </c>
    </row>
    <row r="481" spans="1:14" x14ac:dyDescent="0.25">
      <c r="A481" s="3" t="str">
        <f>HYPERLINK("http://www.ncbi.nlm.nih.gov/gene/83990","83990")</f>
        <v>83990</v>
      </c>
      <c r="B481" s="1" t="s">
        <v>1231</v>
      </c>
      <c r="C481" t="s">
        <v>1232</v>
      </c>
      <c r="D481">
        <v>153</v>
      </c>
      <c r="E481">
        <v>151</v>
      </c>
      <c r="F481">
        <v>99.9</v>
      </c>
      <c r="G481">
        <v>99</v>
      </c>
      <c r="H481">
        <v>128.9</v>
      </c>
      <c r="I481">
        <v>131.5</v>
      </c>
      <c r="J481">
        <v>100</v>
      </c>
      <c r="K481">
        <v>100</v>
      </c>
      <c r="L481" s="1" t="s">
        <v>1231</v>
      </c>
      <c r="M481" t="s">
        <v>1233</v>
      </c>
      <c r="N481">
        <v>7</v>
      </c>
    </row>
    <row r="482" spans="1:14" x14ac:dyDescent="0.25">
      <c r="A482" s="3" t="str">
        <f>HYPERLINK("http://www.ncbi.nlm.nih.gov/gene/7862","7862")</f>
        <v>7862</v>
      </c>
      <c r="B482" s="1" t="s">
        <v>1234</v>
      </c>
      <c r="C482" t="s">
        <v>1235</v>
      </c>
      <c r="D482">
        <v>163.69999999999999</v>
      </c>
      <c r="E482">
        <v>169.1</v>
      </c>
      <c r="F482">
        <v>100</v>
      </c>
      <c r="G482">
        <v>100</v>
      </c>
      <c r="H482">
        <v>143.80000000000001</v>
      </c>
      <c r="I482">
        <v>146.6</v>
      </c>
      <c r="J482">
        <v>100</v>
      </c>
      <c r="K482">
        <v>100</v>
      </c>
      <c r="L482" s="1" t="s">
        <v>1234</v>
      </c>
      <c r="M482" t="s">
        <v>189</v>
      </c>
      <c r="N482">
        <v>2</v>
      </c>
    </row>
    <row r="483" spans="1:14" x14ac:dyDescent="0.25">
      <c r="A483" s="3" t="str">
        <f>HYPERLINK("http://www.ncbi.nlm.nih.gov/gene/9024","9024")</f>
        <v>9024</v>
      </c>
      <c r="B483" s="1" t="s">
        <v>1236</v>
      </c>
      <c r="C483" t="s">
        <v>1237</v>
      </c>
      <c r="D483">
        <v>113.6</v>
      </c>
      <c r="E483">
        <v>118.2</v>
      </c>
      <c r="F483">
        <v>99.5</v>
      </c>
      <c r="G483">
        <v>97.4</v>
      </c>
      <c r="H483">
        <v>140.6</v>
      </c>
      <c r="I483">
        <v>144.6</v>
      </c>
      <c r="J483">
        <v>100</v>
      </c>
      <c r="K483">
        <v>100</v>
      </c>
      <c r="L483" s="1" t="s">
        <v>1236</v>
      </c>
      <c r="M483" t="s">
        <v>189</v>
      </c>
      <c r="N483">
        <v>2</v>
      </c>
    </row>
    <row r="484" spans="1:14" x14ac:dyDescent="0.25">
      <c r="A484" s="3" t="str">
        <f>HYPERLINK("http://www.ncbi.nlm.nih.gov/gene/254065","254065")</f>
        <v>254065</v>
      </c>
      <c r="B484" s="1" t="s">
        <v>1238</v>
      </c>
      <c r="C484" t="s">
        <v>1239</v>
      </c>
      <c r="D484">
        <v>125.8</v>
      </c>
      <c r="E484">
        <v>130.30000000000001</v>
      </c>
      <c r="F484">
        <v>99.3</v>
      </c>
      <c r="G484">
        <v>97.2</v>
      </c>
      <c r="H484">
        <v>122.3</v>
      </c>
      <c r="I484">
        <v>124.7</v>
      </c>
      <c r="J484">
        <v>100</v>
      </c>
      <c r="K484">
        <v>100</v>
      </c>
      <c r="L484" s="1" t="s">
        <v>1238</v>
      </c>
      <c r="M484" t="s">
        <v>1240</v>
      </c>
      <c r="N484">
        <v>2</v>
      </c>
    </row>
    <row r="485" spans="1:14" x14ac:dyDescent="0.25">
      <c r="A485" s="3" t="str">
        <f>HYPERLINK("http://www.ncbi.nlm.nih.gov/gene/26580","26580")</f>
        <v>26580</v>
      </c>
      <c r="B485" s="1" t="s">
        <v>1241</v>
      </c>
      <c r="C485" t="s">
        <v>1242</v>
      </c>
      <c r="D485">
        <v>110.7</v>
      </c>
      <c r="E485">
        <v>113.7</v>
      </c>
      <c r="F485">
        <v>100</v>
      </c>
      <c r="G485">
        <v>100</v>
      </c>
      <c r="H485">
        <v>142.1</v>
      </c>
      <c r="I485">
        <v>146</v>
      </c>
      <c r="J485">
        <v>100</v>
      </c>
      <c r="K485">
        <v>100</v>
      </c>
      <c r="L485" s="1" t="s">
        <v>1241</v>
      </c>
      <c r="M485" t="s">
        <v>1243</v>
      </c>
      <c r="N485">
        <v>7</v>
      </c>
    </row>
    <row r="486" spans="1:14" x14ac:dyDescent="0.25">
      <c r="A486" s="3" t="str">
        <f>HYPERLINK("http://www.ncbi.nlm.nih.gov/gene/7809","7809")</f>
        <v>7809</v>
      </c>
      <c r="B486" s="1" t="s">
        <v>1244</v>
      </c>
      <c r="C486" t="s">
        <v>1245</v>
      </c>
      <c r="D486">
        <v>159.4</v>
      </c>
      <c r="E486">
        <v>157.9</v>
      </c>
      <c r="F486">
        <v>100</v>
      </c>
      <c r="G486">
        <v>100</v>
      </c>
      <c r="H486">
        <v>150.80000000000001</v>
      </c>
      <c r="I486">
        <v>155.69999999999999</v>
      </c>
      <c r="J486">
        <v>100</v>
      </c>
      <c r="K486">
        <v>100</v>
      </c>
      <c r="L486" s="1" t="s">
        <v>1244</v>
      </c>
      <c r="M486" t="s">
        <v>950</v>
      </c>
      <c r="N486">
        <v>4</v>
      </c>
    </row>
    <row r="487" spans="1:14" x14ac:dyDescent="0.25">
      <c r="A487" s="3" t="str">
        <f>HYPERLINK("http://www.ncbi.nlm.nih.gov/gene/686","686")</f>
        <v>686</v>
      </c>
      <c r="B487" s="1" t="s">
        <v>1246</v>
      </c>
      <c r="D487">
        <v>130.9</v>
      </c>
      <c r="E487">
        <v>127</v>
      </c>
      <c r="F487">
        <v>83.1</v>
      </c>
      <c r="G487">
        <v>83</v>
      </c>
      <c r="H487">
        <v>143.4</v>
      </c>
      <c r="I487">
        <v>147.80000000000001</v>
      </c>
      <c r="J487">
        <v>83.1</v>
      </c>
      <c r="K487">
        <v>83.1</v>
      </c>
      <c r="L487" s="1" t="s">
        <v>1246</v>
      </c>
      <c r="M487" t="s">
        <v>1247</v>
      </c>
      <c r="N487">
        <v>8</v>
      </c>
    </row>
    <row r="488" spans="1:14" x14ac:dyDescent="0.25">
      <c r="A488" s="3" t="str">
        <f>HYPERLINK("http://www.ncbi.nlm.nih.gov/gene/695","695")</f>
        <v>695</v>
      </c>
      <c r="B488" s="1" t="s">
        <v>1248</v>
      </c>
      <c r="C488" t="s">
        <v>1249</v>
      </c>
      <c r="D488">
        <v>123.1</v>
      </c>
      <c r="E488">
        <v>126.7</v>
      </c>
      <c r="F488">
        <v>100</v>
      </c>
      <c r="G488">
        <v>99.9</v>
      </c>
      <c r="H488">
        <v>127.7</v>
      </c>
      <c r="I488">
        <v>130.69999999999999</v>
      </c>
      <c r="J488">
        <v>100</v>
      </c>
      <c r="K488">
        <v>99.9</v>
      </c>
      <c r="L488" s="1" t="s">
        <v>1248</v>
      </c>
      <c r="M488" t="s">
        <v>1250</v>
      </c>
      <c r="N488">
        <v>3</v>
      </c>
    </row>
    <row r="489" spans="1:14" x14ac:dyDescent="0.25">
      <c r="A489" s="3" t="str">
        <f>HYPERLINK("http://www.ncbi.nlm.nih.gov/gene/8945","8945")</f>
        <v>8945</v>
      </c>
      <c r="B489" s="1" t="s">
        <v>1251</v>
      </c>
      <c r="C489" t="s">
        <v>1252</v>
      </c>
      <c r="D489">
        <v>143.6</v>
      </c>
      <c r="E489">
        <v>151</v>
      </c>
      <c r="F489">
        <v>97.6</v>
      </c>
      <c r="G489">
        <v>97.3</v>
      </c>
      <c r="H489">
        <v>127.4</v>
      </c>
      <c r="I489">
        <v>131</v>
      </c>
      <c r="J489">
        <v>100</v>
      </c>
      <c r="K489">
        <v>100</v>
      </c>
      <c r="L489" s="1" t="s">
        <v>1251</v>
      </c>
      <c r="M489" t="s">
        <v>1253</v>
      </c>
      <c r="N489">
        <v>2</v>
      </c>
    </row>
    <row r="490" spans="1:14" x14ac:dyDescent="0.25">
      <c r="A490" s="3" t="str">
        <f>HYPERLINK("http://www.ncbi.nlm.nih.gov/gene/699","699")</f>
        <v>699</v>
      </c>
      <c r="B490" s="1" t="s">
        <v>1254</v>
      </c>
      <c r="C490" t="s">
        <v>1255</v>
      </c>
      <c r="D490">
        <v>151</v>
      </c>
      <c r="E490">
        <v>156</v>
      </c>
      <c r="F490">
        <v>99.8</v>
      </c>
      <c r="G490">
        <v>98.8</v>
      </c>
      <c r="H490">
        <v>139.19999999999999</v>
      </c>
      <c r="I490">
        <v>143.4</v>
      </c>
      <c r="J490">
        <v>100</v>
      </c>
      <c r="K490">
        <v>100</v>
      </c>
      <c r="L490" s="1" t="s">
        <v>1254</v>
      </c>
      <c r="M490" t="s">
        <v>1256</v>
      </c>
      <c r="N490">
        <v>2</v>
      </c>
    </row>
    <row r="491" spans="1:14" x14ac:dyDescent="0.25">
      <c r="A491" s="3" t="str">
        <f>HYPERLINK("http://www.ncbi.nlm.nih.gov/gene/701","701")</f>
        <v>701</v>
      </c>
      <c r="B491" s="1" t="s">
        <v>1257</v>
      </c>
      <c r="C491" t="s">
        <v>1258</v>
      </c>
      <c r="D491">
        <v>135.19999999999999</v>
      </c>
      <c r="E491">
        <v>141</v>
      </c>
      <c r="F491">
        <v>99.6</v>
      </c>
      <c r="G491">
        <v>98.9</v>
      </c>
      <c r="H491">
        <v>122.5</v>
      </c>
      <c r="I491">
        <v>126.1</v>
      </c>
      <c r="J491">
        <v>100</v>
      </c>
      <c r="K491">
        <v>100</v>
      </c>
      <c r="L491" s="1" t="s">
        <v>1257</v>
      </c>
      <c r="M491" t="s">
        <v>1259</v>
      </c>
      <c r="N491">
        <v>4</v>
      </c>
    </row>
    <row r="492" spans="1:14" x14ac:dyDescent="0.25">
      <c r="A492" s="3" t="str">
        <f>HYPERLINK("http://www.ncbi.nlm.nih.gov/gene/9184","9184")</f>
        <v>9184</v>
      </c>
      <c r="B492" s="1" t="s">
        <v>1260</v>
      </c>
      <c r="C492" t="s">
        <v>1261</v>
      </c>
      <c r="D492">
        <v>130.9</v>
      </c>
      <c r="E492">
        <v>139</v>
      </c>
      <c r="F492">
        <v>99.8</v>
      </c>
      <c r="G492">
        <v>99.1</v>
      </c>
      <c r="H492">
        <v>138.80000000000001</v>
      </c>
      <c r="I492">
        <v>143.30000000000001</v>
      </c>
      <c r="J492">
        <v>100</v>
      </c>
      <c r="K492">
        <v>100</v>
      </c>
      <c r="L492" s="1" t="s">
        <v>1260</v>
      </c>
      <c r="M492" t="s">
        <v>19</v>
      </c>
      <c r="N492">
        <v>2</v>
      </c>
    </row>
    <row r="493" spans="1:14" x14ac:dyDescent="0.25">
      <c r="A493" s="3" t="str">
        <f>HYPERLINK("http://www.ncbi.nlm.nih.gov/gene/11149","11149")</f>
        <v>11149</v>
      </c>
      <c r="B493" s="1" t="s">
        <v>1262</v>
      </c>
      <c r="C493" t="s">
        <v>1263</v>
      </c>
      <c r="D493">
        <v>135.19999999999999</v>
      </c>
      <c r="E493">
        <v>140</v>
      </c>
      <c r="F493">
        <v>99.9</v>
      </c>
      <c r="G493">
        <v>98.8</v>
      </c>
      <c r="H493">
        <v>140.5</v>
      </c>
      <c r="I493">
        <v>145.4</v>
      </c>
      <c r="J493">
        <v>100</v>
      </c>
      <c r="K493">
        <v>100</v>
      </c>
      <c r="L493" s="1" t="s">
        <v>1262</v>
      </c>
      <c r="M493" t="s">
        <v>1264</v>
      </c>
      <c r="N493">
        <v>3</v>
      </c>
    </row>
    <row r="494" spans="1:14" x14ac:dyDescent="0.25">
      <c r="A494" s="3" t="str">
        <f>HYPERLINK("http://www.ncbi.nlm.nih.gov/gene/79703","79703")</f>
        <v>79703</v>
      </c>
      <c r="B494" s="1" t="s">
        <v>1265</v>
      </c>
      <c r="C494" t="s">
        <v>1266</v>
      </c>
      <c r="D494">
        <v>99.8</v>
      </c>
      <c r="E494">
        <v>101.4</v>
      </c>
      <c r="F494">
        <v>98.3</v>
      </c>
      <c r="G494">
        <v>95</v>
      </c>
      <c r="H494">
        <v>120.3</v>
      </c>
      <c r="I494">
        <v>123.1</v>
      </c>
      <c r="J494">
        <v>91.9</v>
      </c>
      <c r="K494">
        <v>91.9</v>
      </c>
      <c r="L494" s="1" t="s">
        <v>1265</v>
      </c>
      <c r="M494" t="s">
        <v>22</v>
      </c>
      <c r="N494">
        <v>1</v>
      </c>
    </row>
    <row r="495" spans="1:14" x14ac:dyDescent="0.25">
      <c r="A495" s="3" t="str">
        <f>HYPERLINK("http://www.ncbi.nlm.nih.gov/gene/57102","57102")</f>
        <v>57102</v>
      </c>
      <c r="B495" s="1" t="s">
        <v>1267</v>
      </c>
      <c r="D495">
        <v>149.30000000000001</v>
      </c>
      <c r="E495">
        <v>156.19999999999999</v>
      </c>
      <c r="F495">
        <v>100</v>
      </c>
      <c r="G495">
        <v>99.3</v>
      </c>
      <c r="H495">
        <v>130.6</v>
      </c>
      <c r="I495">
        <v>135.4</v>
      </c>
      <c r="J495">
        <v>100</v>
      </c>
      <c r="K495">
        <v>100</v>
      </c>
      <c r="L495" s="1" t="s">
        <v>1267</v>
      </c>
      <c r="M495" t="s">
        <v>228</v>
      </c>
      <c r="N495">
        <v>3</v>
      </c>
    </row>
    <row r="496" spans="1:14" x14ac:dyDescent="0.25">
      <c r="A496" s="3" t="str">
        <f>HYPERLINK("http://www.ncbi.nlm.nih.gov/gene/113246","113246")</f>
        <v>113246</v>
      </c>
      <c r="B496" s="1" t="s">
        <v>1268</v>
      </c>
      <c r="C496" t="s">
        <v>1269</v>
      </c>
      <c r="D496">
        <v>132</v>
      </c>
      <c r="E496">
        <v>144.69999999999999</v>
      </c>
      <c r="F496">
        <v>100</v>
      </c>
      <c r="G496">
        <v>98.9</v>
      </c>
      <c r="H496">
        <v>170.8</v>
      </c>
      <c r="I496">
        <v>176.6</v>
      </c>
      <c r="J496">
        <v>100</v>
      </c>
      <c r="K496">
        <v>100</v>
      </c>
      <c r="L496" s="1" t="s">
        <v>1268</v>
      </c>
      <c r="M496" t="s">
        <v>228</v>
      </c>
      <c r="N496">
        <v>3</v>
      </c>
    </row>
    <row r="497" spans="1:14" x14ac:dyDescent="0.25">
      <c r="A497" s="3" t="str">
        <f>HYPERLINK("http://www.ncbi.nlm.nih.gov/gene/83636","83636")</f>
        <v>83636</v>
      </c>
      <c r="B497" s="1" t="s">
        <v>1270</v>
      </c>
      <c r="C497" t="s">
        <v>1271</v>
      </c>
      <c r="D497">
        <v>111.7</v>
      </c>
      <c r="E497">
        <v>122.6</v>
      </c>
      <c r="F497">
        <v>100</v>
      </c>
      <c r="G497">
        <v>99.8</v>
      </c>
      <c r="H497">
        <v>156.9</v>
      </c>
      <c r="I497">
        <v>162.5</v>
      </c>
      <c r="J497">
        <v>100</v>
      </c>
      <c r="K497">
        <v>100</v>
      </c>
      <c r="L497" s="1" t="s">
        <v>1270</v>
      </c>
      <c r="M497" t="s">
        <v>1272</v>
      </c>
      <c r="N497">
        <v>7</v>
      </c>
    </row>
    <row r="498" spans="1:14" x14ac:dyDescent="0.25">
      <c r="A498" s="3" t="str">
        <f>HYPERLINK("http://www.ncbi.nlm.nih.gov/gene/29071","29071")</f>
        <v>29071</v>
      </c>
      <c r="B498" s="1" t="s">
        <v>1273</v>
      </c>
      <c r="C498" t="s">
        <v>1274</v>
      </c>
      <c r="D498">
        <v>172.7</v>
      </c>
      <c r="E498">
        <v>167</v>
      </c>
      <c r="F498">
        <v>100</v>
      </c>
      <c r="G498">
        <v>99.5</v>
      </c>
      <c r="H498">
        <v>133.9</v>
      </c>
      <c r="I498">
        <v>131</v>
      </c>
      <c r="J498">
        <v>100</v>
      </c>
      <c r="K498">
        <v>100</v>
      </c>
      <c r="L498" s="1" t="s">
        <v>1273</v>
      </c>
      <c r="M498" t="s">
        <v>1275</v>
      </c>
      <c r="N498">
        <v>2</v>
      </c>
    </row>
    <row r="499" spans="1:14" x14ac:dyDescent="0.25">
      <c r="A499" s="3" t="str">
        <f>HYPERLINK("http://www.ncbi.nlm.nih.gov/gene/127003","127003")</f>
        <v>127003</v>
      </c>
      <c r="B499" s="1" t="s">
        <v>1276</v>
      </c>
      <c r="D499">
        <v>64.8</v>
      </c>
      <c r="E499">
        <v>66.7</v>
      </c>
      <c r="F499">
        <v>100</v>
      </c>
      <c r="G499">
        <v>99.6</v>
      </c>
      <c r="H499">
        <v>121.8</v>
      </c>
      <c r="I499">
        <v>124.1</v>
      </c>
      <c r="J499">
        <v>100</v>
      </c>
      <c r="K499">
        <v>100</v>
      </c>
      <c r="L499" s="1" t="s">
        <v>1276</v>
      </c>
      <c r="M499" t="s">
        <v>718</v>
      </c>
      <c r="N499">
        <v>2</v>
      </c>
    </row>
    <row r="500" spans="1:14" x14ac:dyDescent="0.25">
      <c r="A500" s="3" t="str">
        <f>HYPERLINK("http://www.ncbi.nlm.nih.gov/gene/712","712")</f>
        <v>712</v>
      </c>
      <c r="B500" s="1" t="s">
        <v>1277</v>
      </c>
      <c r="D500">
        <v>209.8</v>
      </c>
      <c r="E500">
        <v>194.6</v>
      </c>
      <c r="F500">
        <v>100</v>
      </c>
      <c r="G500">
        <v>100</v>
      </c>
      <c r="H500">
        <v>146</v>
      </c>
      <c r="I500">
        <v>151.30000000000001</v>
      </c>
      <c r="J500">
        <v>100</v>
      </c>
      <c r="K500">
        <v>100</v>
      </c>
      <c r="L500" s="1" t="s">
        <v>1277</v>
      </c>
      <c r="M500" t="s">
        <v>225</v>
      </c>
      <c r="N500">
        <v>4</v>
      </c>
    </row>
    <row r="501" spans="1:14" x14ac:dyDescent="0.25">
      <c r="A501" s="3" t="str">
        <f>HYPERLINK("http://www.ncbi.nlm.nih.gov/gene/713","713")</f>
        <v>713</v>
      </c>
      <c r="B501" s="1" t="s">
        <v>1278</v>
      </c>
      <c r="D501">
        <v>222.2</v>
      </c>
      <c r="E501">
        <v>193.3</v>
      </c>
      <c r="F501">
        <v>100</v>
      </c>
      <c r="G501">
        <v>100</v>
      </c>
      <c r="H501">
        <v>138.9</v>
      </c>
      <c r="I501">
        <v>146.6</v>
      </c>
      <c r="J501">
        <v>100</v>
      </c>
      <c r="K501">
        <v>100</v>
      </c>
      <c r="L501" s="1" t="s">
        <v>1278</v>
      </c>
      <c r="M501" t="s">
        <v>225</v>
      </c>
      <c r="N501">
        <v>4</v>
      </c>
    </row>
    <row r="502" spans="1:14" x14ac:dyDescent="0.25">
      <c r="A502" s="3" t="str">
        <f>HYPERLINK("http://www.ncbi.nlm.nih.gov/gene/708","708")</f>
        <v>708</v>
      </c>
      <c r="B502" s="1" t="s">
        <v>1279</v>
      </c>
      <c r="C502" t="s">
        <v>1280</v>
      </c>
      <c r="D502">
        <v>76.7</v>
      </c>
      <c r="E502">
        <v>76.2</v>
      </c>
      <c r="F502">
        <v>86.9</v>
      </c>
      <c r="G502">
        <v>77.3</v>
      </c>
      <c r="H502">
        <v>111.2</v>
      </c>
      <c r="I502">
        <v>113.1</v>
      </c>
      <c r="J502">
        <v>100</v>
      </c>
      <c r="K502">
        <v>100</v>
      </c>
      <c r="L502" s="1" t="s">
        <v>1279</v>
      </c>
      <c r="M502" t="s">
        <v>766</v>
      </c>
      <c r="N502">
        <v>3</v>
      </c>
    </row>
    <row r="503" spans="1:14" x14ac:dyDescent="0.25">
      <c r="A503" s="3" t="str">
        <f>HYPERLINK("http://www.ncbi.nlm.nih.gov/gene/714","714")</f>
        <v>714</v>
      </c>
      <c r="B503" s="1" t="s">
        <v>1281</v>
      </c>
      <c r="C503" t="s">
        <v>1282</v>
      </c>
      <c r="D503">
        <v>211</v>
      </c>
      <c r="E503">
        <v>200.1</v>
      </c>
      <c r="F503">
        <v>100</v>
      </c>
      <c r="G503">
        <v>99.2</v>
      </c>
      <c r="H503">
        <v>196.5</v>
      </c>
      <c r="I503">
        <v>200.2</v>
      </c>
      <c r="J503">
        <v>100</v>
      </c>
      <c r="K503">
        <v>100</v>
      </c>
      <c r="L503" s="1" t="s">
        <v>1281</v>
      </c>
      <c r="M503" t="s">
        <v>225</v>
      </c>
      <c r="N503">
        <v>4</v>
      </c>
    </row>
    <row r="504" spans="1:14" x14ac:dyDescent="0.25">
      <c r="A504" s="3" t="str">
        <f>HYPERLINK("http://www.ncbi.nlm.nih.gov/gene/114902","114902")</f>
        <v>114902</v>
      </c>
      <c r="B504" s="1" t="s">
        <v>1283</v>
      </c>
      <c r="C504" t="s">
        <v>1284</v>
      </c>
      <c r="D504">
        <v>103.4</v>
      </c>
      <c r="E504">
        <v>118</v>
      </c>
      <c r="F504">
        <v>90.9</v>
      </c>
      <c r="G504">
        <v>78.5</v>
      </c>
      <c r="H504">
        <v>149.80000000000001</v>
      </c>
      <c r="I504">
        <v>154</v>
      </c>
      <c r="J504">
        <v>100</v>
      </c>
      <c r="K504">
        <v>100</v>
      </c>
      <c r="L504" s="1" t="s">
        <v>1283</v>
      </c>
      <c r="M504" t="s">
        <v>302</v>
      </c>
      <c r="N504">
        <v>2</v>
      </c>
    </row>
    <row r="505" spans="1:14" x14ac:dyDescent="0.25">
      <c r="A505" s="3" t="str">
        <f>HYPERLINK("http://www.ncbi.nlm.nih.gov/gene/715","715")</f>
        <v>715</v>
      </c>
      <c r="B505" s="1" t="s">
        <v>1285</v>
      </c>
      <c r="C505" t="s">
        <v>1286</v>
      </c>
      <c r="D505">
        <v>192.2</v>
      </c>
      <c r="E505">
        <v>207.1</v>
      </c>
      <c r="F505">
        <v>100</v>
      </c>
      <c r="G505">
        <v>100</v>
      </c>
      <c r="H505">
        <v>147.1</v>
      </c>
      <c r="I505">
        <v>150.5</v>
      </c>
      <c r="J505">
        <v>99</v>
      </c>
      <c r="K505">
        <v>96.9</v>
      </c>
      <c r="L505" s="1" t="s">
        <v>1285</v>
      </c>
      <c r="M505" t="s">
        <v>1287</v>
      </c>
      <c r="N505">
        <v>2</v>
      </c>
    </row>
    <row r="506" spans="1:14" x14ac:dyDescent="0.25">
      <c r="A506" s="3" t="str">
        <f>HYPERLINK("http://www.ncbi.nlm.nih.gov/gene/716","716")</f>
        <v>716</v>
      </c>
      <c r="B506" s="1" t="s">
        <v>1288</v>
      </c>
      <c r="C506" t="s">
        <v>1289</v>
      </c>
      <c r="D506">
        <v>111</v>
      </c>
      <c r="E506">
        <v>113</v>
      </c>
      <c r="F506">
        <v>99.9</v>
      </c>
      <c r="G506">
        <v>99</v>
      </c>
      <c r="H506">
        <v>137</v>
      </c>
      <c r="I506">
        <v>139.9</v>
      </c>
      <c r="J506">
        <v>99.5</v>
      </c>
      <c r="K506">
        <v>97.7</v>
      </c>
      <c r="L506" s="1" t="s">
        <v>1288</v>
      </c>
      <c r="M506" t="s">
        <v>1290</v>
      </c>
      <c r="N506">
        <v>3</v>
      </c>
    </row>
    <row r="507" spans="1:14" x14ac:dyDescent="0.25">
      <c r="A507" s="3" t="str">
        <f>HYPERLINK("http://www.ncbi.nlm.nih.gov/gene/717","717")</f>
        <v>717</v>
      </c>
      <c r="B507" s="1" t="s">
        <v>1291</v>
      </c>
      <c r="C507" t="s">
        <v>1292</v>
      </c>
      <c r="D507">
        <v>136.30000000000001</v>
      </c>
      <c r="E507">
        <v>140.1</v>
      </c>
      <c r="F507">
        <v>100</v>
      </c>
      <c r="G507">
        <v>100</v>
      </c>
      <c r="H507">
        <v>230.1</v>
      </c>
      <c r="I507">
        <v>235.8</v>
      </c>
      <c r="J507">
        <v>100</v>
      </c>
      <c r="K507">
        <v>100</v>
      </c>
      <c r="L507" s="1" t="s">
        <v>1291</v>
      </c>
      <c r="M507" t="s">
        <v>1097</v>
      </c>
      <c r="N507">
        <v>3</v>
      </c>
    </row>
    <row r="508" spans="1:14" x14ac:dyDescent="0.25">
      <c r="A508" s="3" t="str">
        <f>HYPERLINK("http://www.ncbi.nlm.nih.gov/gene/26005","26005")</f>
        <v>26005</v>
      </c>
      <c r="B508" s="1" t="s">
        <v>1293</v>
      </c>
      <c r="C508" t="s">
        <v>1294</v>
      </c>
      <c r="D508">
        <v>137.5</v>
      </c>
      <c r="E508">
        <v>140.4</v>
      </c>
      <c r="F508">
        <v>95.8</v>
      </c>
      <c r="G508">
        <v>95.6</v>
      </c>
      <c r="H508">
        <v>136.6</v>
      </c>
      <c r="I508">
        <v>139.6</v>
      </c>
      <c r="J508">
        <v>95.9</v>
      </c>
      <c r="K508">
        <v>95.9</v>
      </c>
      <c r="L508" s="1" t="s">
        <v>1293</v>
      </c>
      <c r="M508" t="s">
        <v>1295</v>
      </c>
      <c r="N508">
        <v>6</v>
      </c>
    </row>
    <row r="509" spans="1:14" x14ac:dyDescent="0.25">
      <c r="A509" s="3" t="str">
        <f>HYPERLINK("http://www.ncbi.nlm.nih.gov/gene/718","718")</f>
        <v>718</v>
      </c>
      <c r="B509" s="1" t="s">
        <v>1296</v>
      </c>
      <c r="C509" t="s">
        <v>1297</v>
      </c>
      <c r="D509">
        <v>148.69999999999999</v>
      </c>
      <c r="E509">
        <v>153.5</v>
      </c>
      <c r="F509">
        <v>99.9</v>
      </c>
      <c r="G509">
        <v>99.2</v>
      </c>
      <c r="H509">
        <v>138.19999999999999</v>
      </c>
      <c r="I509">
        <v>142</v>
      </c>
      <c r="J509">
        <v>100</v>
      </c>
      <c r="K509">
        <v>100</v>
      </c>
      <c r="L509" s="1" t="s">
        <v>1296</v>
      </c>
      <c r="M509" t="s">
        <v>1298</v>
      </c>
      <c r="N509">
        <v>5</v>
      </c>
    </row>
    <row r="510" spans="1:14" x14ac:dyDescent="0.25">
      <c r="A510" s="3" t="str">
        <f>HYPERLINK("http://www.ncbi.nlm.nih.gov/gene/720","720")</f>
        <v>720</v>
      </c>
      <c r="B510" s="1" t="s">
        <v>1299</v>
      </c>
      <c r="C510" t="s">
        <v>1300</v>
      </c>
      <c r="D510">
        <v>83.8</v>
      </c>
      <c r="E510">
        <v>86</v>
      </c>
      <c r="F510">
        <v>98.4</v>
      </c>
      <c r="G510">
        <v>95.1</v>
      </c>
      <c r="H510">
        <v>208.1</v>
      </c>
      <c r="I510">
        <v>213.1</v>
      </c>
      <c r="J510">
        <v>99.6</v>
      </c>
      <c r="K510">
        <v>99.2</v>
      </c>
      <c r="L510" s="1" t="s">
        <v>1299</v>
      </c>
      <c r="M510" t="s">
        <v>53</v>
      </c>
      <c r="N510">
        <v>2</v>
      </c>
    </row>
    <row r="511" spans="1:14" x14ac:dyDescent="0.25">
      <c r="A511" s="3" t="str">
        <f>HYPERLINK("http://www.ncbi.nlm.nih.gov/gene/721","721")</f>
        <v>721</v>
      </c>
      <c r="B511" s="1" t="s">
        <v>1301</v>
      </c>
      <c r="C511" t="s">
        <v>1302</v>
      </c>
      <c r="D511">
        <v>81.5</v>
      </c>
      <c r="E511">
        <v>83.2</v>
      </c>
      <c r="F511">
        <v>99.2</v>
      </c>
      <c r="G511">
        <v>96.9</v>
      </c>
      <c r="H511">
        <v>212.7</v>
      </c>
      <c r="I511">
        <v>218.5</v>
      </c>
      <c r="J511">
        <v>99.9</v>
      </c>
      <c r="K511">
        <v>99.8</v>
      </c>
      <c r="L511" s="1" t="s">
        <v>1301</v>
      </c>
      <c r="M511" t="s">
        <v>428</v>
      </c>
      <c r="N511">
        <v>2</v>
      </c>
    </row>
    <row r="512" spans="1:14" x14ac:dyDescent="0.25">
      <c r="A512" s="3" t="str">
        <f>HYPERLINK("http://www.ncbi.nlm.nih.gov/gene/727","727")</f>
        <v>727</v>
      </c>
      <c r="B512" s="1" t="s">
        <v>1303</v>
      </c>
      <c r="C512" t="s">
        <v>1304</v>
      </c>
      <c r="D512">
        <v>146.4</v>
      </c>
      <c r="E512">
        <v>151.80000000000001</v>
      </c>
      <c r="F512">
        <v>99.9</v>
      </c>
      <c r="G512">
        <v>98.5</v>
      </c>
      <c r="H512">
        <v>121.1</v>
      </c>
      <c r="I512">
        <v>124.6</v>
      </c>
      <c r="J512">
        <v>100</v>
      </c>
      <c r="K512">
        <v>100</v>
      </c>
      <c r="L512" s="1" t="s">
        <v>1303</v>
      </c>
      <c r="M512" t="s">
        <v>1305</v>
      </c>
      <c r="N512">
        <v>3</v>
      </c>
    </row>
    <row r="513" spans="1:14" x14ac:dyDescent="0.25">
      <c r="A513" s="3" t="str">
        <f>HYPERLINK("http://www.ncbi.nlm.nih.gov/gene/729","729")</f>
        <v>729</v>
      </c>
      <c r="B513" s="1" t="s">
        <v>1306</v>
      </c>
      <c r="D513">
        <v>166.9</v>
      </c>
      <c r="E513">
        <v>174.7</v>
      </c>
      <c r="F513">
        <v>100</v>
      </c>
      <c r="G513">
        <v>99.7</v>
      </c>
      <c r="H513">
        <v>145.5</v>
      </c>
      <c r="I513">
        <v>149.80000000000001</v>
      </c>
      <c r="J513">
        <v>100</v>
      </c>
      <c r="K513">
        <v>100</v>
      </c>
      <c r="L513" s="1" t="s">
        <v>1306</v>
      </c>
      <c r="M513" t="s">
        <v>1307</v>
      </c>
      <c r="N513">
        <v>2</v>
      </c>
    </row>
    <row r="514" spans="1:14" x14ac:dyDescent="0.25">
      <c r="A514" s="3" t="str">
        <f>HYPERLINK("http://www.ncbi.nlm.nih.gov/gene/730","730")</f>
        <v>730</v>
      </c>
      <c r="B514" s="1" t="s">
        <v>1308</v>
      </c>
      <c r="D514">
        <v>130.80000000000001</v>
      </c>
      <c r="E514">
        <v>138.5</v>
      </c>
      <c r="F514">
        <v>100</v>
      </c>
      <c r="G514">
        <v>98.9</v>
      </c>
      <c r="H514">
        <v>129.19999999999999</v>
      </c>
      <c r="I514">
        <v>133.6</v>
      </c>
      <c r="J514">
        <v>100</v>
      </c>
      <c r="K514">
        <v>100</v>
      </c>
      <c r="L514" s="1" t="s">
        <v>1308</v>
      </c>
      <c r="M514" t="s">
        <v>1307</v>
      </c>
      <c r="N514">
        <v>2</v>
      </c>
    </row>
    <row r="515" spans="1:14" x14ac:dyDescent="0.25">
      <c r="A515" s="3" t="str">
        <f>HYPERLINK("http://www.ncbi.nlm.nih.gov/gene/731","731")</f>
        <v>731</v>
      </c>
      <c r="B515" s="1" t="s">
        <v>1309</v>
      </c>
      <c r="D515">
        <v>120.3</v>
      </c>
      <c r="E515">
        <v>124.3</v>
      </c>
      <c r="F515">
        <v>100</v>
      </c>
      <c r="G515">
        <v>99.6</v>
      </c>
      <c r="H515">
        <v>143.80000000000001</v>
      </c>
      <c r="I515">
        <v>148.80000000000001</v>
      </c>
      <c r="J515">
        <v>100</v>
      </c>
      <c r="K515">
        <v>100</v>
      </c>
      <c r="L515" s="1" t="s">
        <v>1309</v>
      </c>
      <c r="M515" t="s">
        <v>1097</v>
      </c>
      <c r="N515">
        <v>3</v>
      </c>
    </row>
    <row r="516" spans="1:14" x14ac:dyDescent="0.25">
      <c r="A516" s="3" t="str">
        <f>HYPERLINK("http://www.ncbi.nlm.nih.gov/gene/732","732")</f>
        <v>732</v>
      </c>
      <c r="B516" s="1" t="s">
        <v>1310</v>
      </c>
      <c r="C516" t="s">
        <v>1311</v>
      </c>
      <c r="D516">
        <v>131.1</v>
      </c>
      <c r="E516">
        <v>136.9</v>
      </c>
      <c r="F516">
        <v>100</v>
      </c>
      <c r="G516">
        <v>99.2</v>
      </c>
      <c r="H516">
        <v>152.19999999999999</v>
      </c>
      <c r="I516">
        <v>157.1</v>
      </c>
      <c r="J516">
        <v>100</v>
      </c>
      <c r="K516">
        <v>100</v>
      </c>
      <c r="L516" s="1" t="s">
        <v>1310</v>
      </c>
      <c r="M516" t="s">
        <v>1097</v>
      </c>
      <c r="N516">
        <v>3</v>
      </c>
    </row>
    <row r="517" spans="1:14" x14ac:dyDescent="0.25">
      <c r="A517" s="3" t="str">
        <f>HYPERLINK("http://www.ncbi.nlm.nih.gov/gene/733","733")</f>
        <v>733</v>
      </c>
      <c r="B517" s="1" t="s">
        <v>1312</v>
      </c>
      <c r="C517" t="s">
        <v>1313</v>
      </c>
      <c r="D517">
        <v>141.5</v>
      </c>
      <c r="E517">
        <v>144.9</v>
      </c>
      <c r="F517">
        <v>100</v>
      </c>
      <c r="G517">
        <v>100</v>
      </c>
      <c r="H517">
        <v>129.19999999999999</v>
      </c>
      <c r="I517">
        <v>131.9</v>
      </c>
      <c r="J517">
        <v>100</v>
      </c>
      <c r="K517">
        <v>100</v>
      </c>
      <c r="L517" s="1" t="s">
        <v>1312</v>
      </c>
      <c r="M517" t="s">
        <v>502</v>
      </c>
      <c r="N517">
        <v>2</v>
      </c>
    </row>
    <row r="518" spans="1:14" x14ac:dyDescent="0.25">
      <c r="A518" s="3" t="str">
        <f>HYPERLINK("http://www.ncbi.nlm.nih.gov/gene/157657","157657")</f>
        <v>157657</v>
      </c>
      <c r="B518" s="1" t="s">
        <v>1314</v>
      </c>
      <c r="C518" t="s">
        <v>1315</v>
      </c>
      <c r="D518">
        <v>146.1</v>
      </c>
      <c r="E518">
        <v>152</v>
      </c>
      <c r="F518">
        <v>100</v>
      </c>
      <c r="G518">
        <v>99.4</v>
      </c>
      <c r="H518">
        <v>128.9</v>
      </c>
      <c r="I518">
        <v>132.80000000000001</v>
      </c>
      <c r="J518">
        <v>100</v>
      </c>
      <c r="K518">
        <v>100</v>
      </c>
      <c r="L518" s="1" t="s">
        <v>1314</v>
      </c>
      <c r="M518" t="s">
        <v>1316</v>
      </c>
      <c r="N518">
        <v>4</v>
      </c>
    </row>
    <row r="519" spans="1:14" x14ac:dyDescent="0.25">
      <c r="A519" s="3" t="str">
        <f>HYPERLINK("http://www.ncbi.nlm.nih.gov/gene/735","735")</f>
        <v>735</v>
      </c>
      <c r="B519" s="1" t="s">
        <v>1317</v>
      </c>
      <c r="C519" t="s">
        <v>1318</v>
      </c>
      <c r="D519">
        <v>137.6</v>
      </c>
      <c r="E519">
        <v>145.6</v>
      </c>
      <c r="F519">
        <v>99.9</v>
      </c>
      <c r="G519">
        <v>99.5</v>
      </c>
      <c r="H519">
        <v>147.30000000000001</v>
      </c>
      <c r="I519">
        <v>152.6</v>
      </c>
      <c r="J519">
        <v>100</v>
      </c>
      <c r="K519">
        <v>100</v>
      </c>
      <c r="L519" s="1" t="s">
        <v>1317</v>
      </c>
      <c r="M519" t="s">
        <v>1305</v>
      </c>
      <c r="N519">
        <v>3</v>
      </c>
    </row>
    <row r="520" spans="1:14" x14ac:dyDescent="0.25">
      <c r="A520" s="3" t="str">
        <f>HYPERLINK("http://www.ncbi.nlm.nih.gov/gene/203228","203228")</f>
        <v>203228</v>
      </c>
      <c r="B520" s="1" t="s">
        <v>1319</v>
      </c>
      <c r="C520" t="s">
        <v>1320</v>
      </c>
      <c r="D520">
        <v>106.4</v>
      </c>
      <c r="E520">
        <v>110.3</v>
      </c>
      <c r="F520">
        <v>97.7</v>
      </c>
      <c r="G520">
        <v>96.2</v>
      </c>
      <c r="H520">
        <v>129.9</v>
      </c>
      <c r="I520">
        <v>133.1</v>
      </c>
      <c r="J520">
        <v>100</v>
      </c>
      <c r="K520">
        <v>100</v>
      </c>
      <c r="L520" s="1" t="s">
        <v>1319</v>
      </c>
      <c r="M520" t="s">
        <v>285</v>
      </c>
      <c r="N520">
        <v>1</v>
      </c>
    </row>
    <row r="521" spans="1:14" x14ac:dyDescent="0.25">
      <c r="A521" s="3" t="str">
        <f>HYPERLINK("http://www.ncbi.nlm.nih.gov/gene/771","771")</f>
        <v>771</v>
      </c>
      <c r="B521" s="1" t="s">
        <v>1321</v>
      </c>
      <c r="C521" t="s">
        <v>1322</v>
      </c>
      <c r="D521">
        <v>111.6</v>
      </c>
      <c r="E521">
        <v>115.4</v>
      </c>
      <c r="F521">
        <v>100</v>
      </c>
      <c r="G521">
        <v>100</v>
      </c>
      <c r="H521">
        <v>129.30000000000001</v>
      </c>
      <c r="I521">
        <v>132.4</v>
      </c>
      <c r="J521">
        <v>100</v>
      </c>
      <c r="K521">
        <v>100</v>
      </c>
      <c r="L521" s="1" t="s">
        <v>1321</v>
      </c>
      <c r="M521" t="s">
        <v>53</v>
      </c>
      <c r="N521">
        <v>2</v>
      </c>
    </row>
    <row r="522" spans="1:14" x14ac:dyDescent="0.25">
      <c r="A522" s="3" t="str">
        <f>HYPERLINK("http://www.ncbi.nlm.nih.gov/gene/760","760")</f>
        <v>760</v>
      </c>
      <c r="B522" s="1" t="s">
        <v>1323</v>
      </c>
      <c r="C522" t="s">
        <v>1324</v>
      </c>
      <c r="D522">
        <v>165.1</v>
      </c>
      <c r="E522">
        <v>172.2</v>
      </c>
      <c r="F522">
        <v>100</v>
      </c>
      <c r="G522">
        <v>100</v>
      </c>
      <c r="H522">
        <v>136.1</v>
      </c>
      <c r="I522">
        <v>139.69999999999999</v>
      </c>
      <c r="J522">
        <v>100</v>
      </c>
      <c r="K522">
        <v>100</v>
      </c>
      <c r="L522" s="1" t="s">
        <v>1323</v>
      </c>
      <c r="M522" t="s">
        <v>1325</v>
      </c>
      <c r="N522">
        <v>7</v>
      </c>
    </row>
    <row r="523" spans="1:14" x14ac:dyDescent="0.25">
      <c r="A523" s="3" t="str">
        <f>HYPERLINK("http://www.ncbi.nlm.nih.gov/gene/762","762")</f>
        <v>762</v>
      </c>
      <c r="B523" s="1" t="s">
        <v>1326</v>
      </c>
      <c r="C523" t="s">
        <v>1327</v>
      </c>
      <c r="D523">
        <v>160.5</v>
      </c>
      <c r="E523">
        <v>170.8</v>
      </c>
      <c r="F523">
        <v>100</v>
      </c>
      <c r="G523">
        <v>100</v>
      </c>
      <c r="H523">
        <v>129.80000000000001</v>
      </c>
      <c r="I523">
        <v>133.5</v>
      </c>
      <c r="J523">
        <v>100</v>
      </c>
      <c r="K523">
        <v>100</v>
      </c>
      <c r="L523" s="1" t="s">
        <v>1326</v>
      </c>
      <c r="M523" t="s">
        <v>285</v>
      </c>
      <c r="N523">
        <v>1</v>
      </c>
    </row>
    <row r="524" spans="1:14" x14ac:dyDescent="0.25">
      <c r="A524" s="3" t="str">
        <f>HYPERLINK("http://www.ncbi.nlm.nih.gov/gene/763","763")</f>
        <v>763</v>
      </c>
      <c r="B524" s="1" t="s">
        <v>1328</v>
      </c>
      <c r="C524" t="s">
        <v>1329</v>
      </c>
      <c r="D524">
        <v>103.7</v>
      </c>
      <c r="E524">
        <v>106.3</v>
      </c>
      <c r="F524">
        <v>87.4</v>
      </c>
      <c r="G524">
        <v>85.2</v>
      </c>
      <c r="H524">
        <v>127.6</v>
      </c>
      <c r="I524">
        <v>131.30000000000001</v>
      </c>
      <c r="J524">
        <v>87.7</v>
      </c>
      <c r="K524">
        <v>87.7</v>
      </c>
      <c r="L524" s="1" t="s">
        <v>1328</v>
      </c>
      <c r="M524" t="s">
        <v>1330</v>
      </c>
      <c r="N524">
        <v>5</v>
      </c>
    </row>
    <row r="525" spans="1:14" x14ac:dyDescent="0.25">
      <c r="A525" s="3" t="str">
        <f>HYPERLINK("http://www.ncbi.nlm.nih.gov/gene/767","767")</f>
        <v>767</v>
      </c>
      <c r="B525" s="1" t="s">
        <v>1331</v>
      </c>
      <c r="C525" t="s">
        <v>1332</v>
      </c>
      <c r="D525">
        <v>124.1</v>
      </c>
      <c r="E525">
        <v>126.5</v>
      </c>
      <c r="F525">
        <v>99.6</v>
      </c>
      <c r="G525">
        <v>97.3</v>
      </c>
      <c r="H525">
        <v>142.80000000000001</v>
      </c>
      <c r="I525">
        <v>145.9</v>
      </c>
      <c r="J525">
        <v>100</v>
      </c>
      <c r="K525">
        <v>100</v>
      </c>
      <c r="L525" s="1" t="s">
        <v>1331</v>
      </c>
      <c r="M525" t="s">
        <v>288</v>
      </c>
      <c r="N525">
        <v>4</v>
      </c>
    </row>
    <row r="526" spans="1:14" x14ac:dyDescent="0.25">
      <c r="A526" s="3" t="str">
        <f>HYPERLINK("http://www.ncbi.nlm.nih.gov/gene/23523","23523")</f>
        <v>23523</v>
      </c>
      <c r="B526" s="1" t="s">
        <v>1333</v>
      </c>
      <c r="C526" t="s">
        <v>1334</v>
      </c>
      <c r="D526">
        <v>145.6</v>
      </c>
      <c r="E526">
        <v>153.30000000000001</v>
      </c>
      <c r="F526">
        <v>100</v>
      </c>
      <c r="G526">
        <v>99.6</v>
      </c>
      <c r="H526">
        <v>142.4</v>
      </c>
      <c r="I526">
        <v>146.4</v>
      </c>
      <c r="J526">
        <v>100</v>
      </c>
      <c r="K526">
        <v>99.9</v>
      </c>
      <c r="L526" s="1" t="s">
        <v>1333</v>
      </c>
      <c r="M526" t="s">
        <v>1335</v>
      </c>
      <c r="N526">
        <v>2</v>
      </c>
    </row>
    <row r="527" spans="1:14" x14ac:dyDescent="0.25">
      <c r="A527" s="3" t="str">
        <f>HYPERLINK("http://www.ncbi.nlm.nih.gov/gene/51475","51475")</f>
        <v>51475</v>
      </c>
      <c r="B527" s="1" t="s">
        <v>1336</v>
      </c>
      <c r="C527" t="s">
        <v>1337</v>
      </c>
      <c r="D527">
        <v>76.3</v>
      </c>
      <c r="E527">
        <v>77.7</v>
      </c>
      <c r="F527">
        <v>75.900000000000006</v>
      </c>
      <c r="G527">
        <v>68</v>
      </c>
      <c r="H527">
        <v>176.7</v>
      </c>
      <c r="I527">
        <v>182.2</v>
      </c>
      <c r="J527">
        <v>100</v>
      </c>
      <c r="K527">
        <v>100</v>
      </c>
      <c r="L527" s="1" t="s">
        <v>1336</v>
      </c>
      <c r="M527" t="s">
        <v>269</v>
      </c>
      <c r="N527">
        <v>3</v>
      </c>
    </row>
    <row r="528" spans="1:14" x14ac:dyDescent="0.25">
      <c r="A528" s="3" t="str">
        <f>HYPERLINK("http://www.ncbi.nlm.nih.gov/gene/57010","57010")</f>
        <v>57010</v>
      </c>
      <c r="B528" s="1" t="s">
        <v>1338</v>
      </c>
      <c r="C528" t="s">
        <v>1339</v>
      </c>
      <c r="D528">
        <v>163.4</v>
      </c>
      <c r="E528">
        <v>165.3</v>
      </c>
      <c r="F528">
        <v>100</v>
      </c>
      <c r="G528">
        <v>99.9</v>
      </c>
      <c r="H528">
        <v>126.8</v>
      </c>
      <c r="I528">
        <v>129.1</v>
      </c>
      <c r="J528">
        <v>100</v>
      </c>
      <c r="K528">
        <v>100</v>
      </c>
      <c r="L528" s="1" t="s">
        <v>1338</v>
      </c>
      <c r="M528" t="s">
        <v>56</v>
      </c>
      <c r="N528">
        <v>3</v>
      </c>
    </row>
    <row r="529" spans="1:14" x14ac:dyDescent="0.25">
      <c r="A529" s="3" t="str">
        <f>HYPERLINK("http://www.ncbi.nlm.nih.gov/gene/773","773")</f>
        <v>773</v>
      </c>
      <c r="B529" s="1" t="s">
        <v>1340</v>
      </c>
      <c r="C529" t="s">
        <v>1341</v>
      </c>
      <c r="D529">
        <v>94.9</v>
      </c>
      <c r="E529">
        <v>95</v>
      </c>
      <c r="F529">
        <v>93.2</v>
      </c>
      <c r="G529">
        <v>90</v>
      </c>
      <c r="H529">
        <v>145.5</v>
      </c>
      <c r="I529">
        <v>148.19999999999999</v>
      </c>
      <c r="J529">
        <v>100</v>
      </c>
      <c r="K529">
        <v>99.9</v>
      </c>
      <c r="L529" s="1" t="s">
        <v>1340</v>
      </c>
      <c r="M529" t="s">
        <v>1342</v>
      </c>
      <c r="N529">
        <v>5</v>
      </c>
    </row>
    <row r="530" spans="1:14" x14ac:dyDescent="0.25">
      <c r="A530" s="3" t="str">
        <f>HYPERLINK("http://www.ncbi.nlm.nih.gov/gene/774","774")</f>
        <v>774</v>
      </c>
      <c r="B530" s="1" t="s">
        <v>1343</v>
      </c>
      <c r="C530" t="s">
        <v>1344</v>
      </c>
      <c r="D530">
        <v>138.4</v>
      </c>
      <c r="E530">
        <v>143.69999999999999</v>
      </c>
      <c r="F530">
        <v>97.5</v>
      </c>
      <c r="G530">
        <v>95.7</v>
      </c>
      <c r="H530">
        <v>149.80000000000001</v>
      </c>
      <c r="I530">
        <v>155.5</v>
      </c>
      <c r="J530">
        <v>99.1</v>
      </c>
      <c r="K530">
        <v>97.7</v>
      </c>
      <c r="L530" s="1" t="s">
        <v>1343</v>
      </c>
      <c r="M530" t="s">
        <v>228</v>
      </c>
      <c r="N530">
        <v>3</v>
      </c>
    </row>
    <row r="531" spans="1:14" x14ac:dyDescent="0.25">
      <c r="A531" s="3" t="str">
        <f>HYPERLINK("http://www.ncbi.nlm.nih.gov/gene/775","775")</f>
        <v>775</v>
      </c>
      <c r="B531" s="1" t="s">
        <v>1345</v>
      </c>
      <c r="C531" t="s">
        <v>1346</v>
      </c>
      <c r="D531">
        <v>156.1</v>
      </c>
      <c r="E531">
        <v>163.4</v>
      </c>
      <c r="F531">
        <v>99.9</v>
      </c>
      <c r="G531">
        <v>99.2</v>
      </c>
      <c r="H531">
        <v>142.19999999999999</v>
      </c>
      <c r="I531">
        <v>145.6</v>
      </c>
      <c r="J531">
        <v>100</v>
      </c>
      <c r="K531">
        <v>100</v>
      </c>
      <c r="L531" s="1" t="s">
        <v>1345</v>
      </c>
      <c r="M531" t="s">
        <v>1347</v>
      </c>
      <c r="N531">
        <v>3</v>
      </c>
    </row>
    <row r="532" spans="1:14" x14ac:dyDescent="0.25">
      <c r="A532" s="3" t="str">
        <f>HYPERLINK("http://www.ncbi.nlm.nih.gov/gene/776","776")</f>
        <v>776</v>
      </c>
      <c r="B532" s="1" t="s">
        <v>1348</v>
      </c>
      <c r="C532" t="s">
        <v>1349</v>
      </c>
      <c r="D532">
        <v>150.1</v>
      </c>
      <c r="E532">
        <v>155.80000000000001</v>
      </c>
      <c r="F532">
        <v>98</v>
      </c>
      <c r="G532">
        <v>97.9</v>
      </c>
      <c r="H532">
        <v>140.30000000000001</v>
      </c>
      <c r="I532">
        <v>144.5</v>
      </c>
      <c r="J532">
        <v>100</v>
      </c>
      <c r="K532">
        <v>100</v>
      </c>
      <c r="L532" s="1" t="s">
        <v>1348</v>
      </c>
      <c r="M532" t="s">
        <v>1350</v>
      </c>
      <c r="N532">
        <v>5</v>
      </c>
    </row>
    <row r="533" spans="1:14" x14ac:dyDescent="0.25">
      <c r="A533" s="3" t="str">
        <f>HYPERLINK("http://www.ncbi.nlm.nih.gov/gene/777","777")</f>
        <v>777</v>
      </c>
      <c r="B533" s="1" t="s">
        <v>1351</v>
      </c>
      <c r="C533" t="s">
        <v>1352</v>
      </c>
      <c r="D533">
        <v>138.19999999999999</v>
      </c>
      <c r="E533">
        <v>142.9</v>
      </c>
      <c r="F533">
        <v>100</v>
      </c>
      <c r="G533">
        <v>99.9</v>
      </c>
      <c r="H533">
        <v>147.30000000000001</v>
      </c>
      <c r="I533">
        <v>150.9</v>
      </c>
      <c r="J533">
        <v>100</v>
      </c>
      <c r="K533">
        <v>100</v>
      </c>
      <c r="L533" s="1" t="s">
        <v>1351</v>
      </c>
      <c r="M533" t="s">
        <v>877</v>
      </c>
      <c r="N533">
        <v>4</v>
      </c>
    </row>
    <row r="534" spans="1:14" x14ac:dyDescent="0.25">
      <c r="A534" s="3" t="str">
        <f>HYPERLINK("http://www.ncbi.nlm.nih.gov/gene/778","778")</f>
        <v>778</v>
      </c>
      <c r="B534" s="1" t="s">
        <v>1353</v>
      </c>
      <c r="C534" t="s">
        <v>1354</v>
      </c>
      <c r="D534">
        <v>95.3</v>
      </c>
      <c r="E534">
        <v>98.4</v>
      </c>
      <c r="F534">
        <v>99.7</v>
      </c>
      <c r="G534">
        <v>97.5</v>
      </c>
      <c r="H534">
        <v>135.6</v>
      </c>
      <c r="I534">
        <v>139</v>
      </c>
      <c r="J534">
        <v>100</v>
      </c>
      <c r="K534">
        <v>100</v>
      </c>
      <c r="L534" s="1" t="s">
        <v>1353</v>
      </c>
      <c r="M534" t="s">
        <v>772</v>
      </c>
      <c r="N534">
        <v>2</v>
      </c>
    </row>
    <row r="535" spans="1:14" x14ac:dyDescent="0.25">
      <c r="A535" s="3" t="str">
        <f>HYPERLINK("http://www.ncbi.nlm.nih.gov/gene/8913","8913")</f>
        <v>8913</v>
      </c>
      <c r="B535" s="1" t="s">
        <v>1355</v>
      </c>
      <c r="C535" t="s">
        <v>1356</v>
      </c>
      <c r="D535">
        <v>149.5</v>
      </c>
      <c r="E535">
        <v>151.80000000000001</v>
      </c>
      <c r="F535">
        <v>100</v>
      </c>
      <c r="G535">
        <v>99.6</v>
      </c>
      <c r="H535">
        <v>153</v>
      </c>
      <c r="I535">
        <v>156.1</v>
      </c>
      <c r="J535">
        <v>100</v>
      </c>
      <c r="K535">
        <v>100</v>
      </c>
      <c r="L535" s="1" t="s">
        <v>1355</v>
      </c>
      <c r="M535" t="s">
        <v>1357</v>
      </c>
      <c r="N535">
        <v>3</v>
      </c>
    </row>
    <row r="536" spans="1:14" x14ac:dyDescent="0.25">
      <c r="A536" s="3" t="str">
        <f>HYPERLINK("http://www.ncbi.nlm.nih.gov/gene/8912","8912")</f>
        <v>8912</v>
      </c>
      <c r="B536" s="1" t="s">
        <v>1358</v>
      </c>
      <c r="C536" t="s">
        <v>1359</v>
      </c>
      <c r="D536">
        <v>123.8</v>
      </c>
      <c r="E536">
        <v>126.2</v>
      </c>
      <c r="F536">
        <v>98.7</v>
      </c>
      <c r="G536">
        <v>96.4</v>
      </c>
      <c r="H536">
        <v>151.5</v>
      </c>
      <c r="I536">
        <v>154.80000000000001</v>
      </c>
      <c r="J536">
        <v>100</v>
      </c>
      <c r="K536">
        <v>99.9</v>
      </c>
      <c r="L536" s="1" t="s">
        <v>1358</v>
      </c>
      <c r="M536" t="s">
        <v>200</v>
      </c>
      <c r="N536">
        <v>2</v>
      </c>
    </row>
    <row r="537" spans="1:14" x14ac:dyDescent="0.25">
      <c r="A537" s="3" t="str">
        <f>HYPERLINK("http://www.ncbi.nlm.nih.gov/gene/779","779")</f>
        <v>779</v>
      </c>
      <c r="B537" s="1" t="s">
        <v>1360</v>
      </c>
      <c r="C537" t="s">
        <v>1361</v>
      </c>
      <c r="D537">
        <v>124.9</v>
      </c>
      <c r="E537">
        <v>130.80000000000001</v>
      </c>
      <c r="F537">
        <v>100</v>
      </c>
      <c r="G537">
        <v>99.9</v>
      </c>
      <c r="H537">
        <v>136.6</v>
      </c>
      <c r="I537">
        <v>140.5</v>
      </c>
      <c r="J537">
        <v>100</v>
      </c>
      <c r="K537">
        <v>100</v>
      </c>
      <c r="L537" s="1" t="s">
        <v>1360</v>
      </c>
      <c r="M537" t="s">
        <v>1362</v>
      </c>
      <c r="N537">
        <v>3</v>
      </c>
    </row>
    <row r="538" spans="1:14" x14ac:dyDescent="0.25">
      <c r="A538" s="3" t="str">
        <f>HYPERLINK("http://www.ncbi.nlm.nih.gov/gene/781","781")</f>
        <v>781</v>
      </c>
      <c r="B538" s="1" t="s">
        <v>1363</v>
      </c>
      <c r="C538" t="s">
        <v>1364</v>
      </c>
      <c r="D538">
        <v>115</v>
      </c>
      <c r="E538">
        <v>118.1</v>
      </c>
      <c r="F538">
        <v>98.6</v>
      </c>
      <c r="G538">
        <v>95.3</v>
      </c>
      <c r="H538">
        <v>122.3</v>
      </c>
      <c r="I538">
        <v>124.7</v>
      </c>
      <c r="J538">
        <v>100</v>
      </c>
      <c r="K538">
        <v>100</v>
      </c>
      <c r="L538" s="1" t="s">
        <v>1363</v>
      </c>
      <c r="M538" t="s">
        <v>197</v>
      </c>
      <c r="N538">
        <v>2</v>
      </c>
    </row>
    <row r="539" spans="1:14" x14ac:dyDescent="0.25">
      <c r="A539" s="3" t="str">
        <f>HYPERLINK("http://www.ncbi.nlm.nih.gov/gene/9254","9254")</f>
        <v>9254</v>
      </c>
      <c r="B539" s="1" t="s">
        <v>1365</v>
      </c>
      <c r="C539" t="s">
        <v>1366</v>
      </c>
      <c r="D539">
        <v>134.69999999999999</v>
      </c>
      <c r="E539">
        <v>136.9</v>
      </c>
      <c r="F539">
        <v>94</v>
      </c>
      <c r="G539">
        <v>93.2</v>
      </c>
      <c r="H539">
        <v>127.3</v>
      </c>
      <c r="I539">
        <v>129.5</v>
      </c>
      <c r="J539">
        <v>99.2</v>
      </c>
      <c r="K539">
        <v>97.6</v>
      </c>
      <c r="L539" s="1" t="s">
        <v>1365</v>
      </c>
      <c r="M539" t="s">
        <v>1220</v>
      </c>
      <c r="N539">
        <v>4</v>
      </c>
    </row>
    <row r="540" spans="1:14" x14ac:dyDescent="0.25">
      <c r="A540" s="3" t="str">
        <f>HYPERLINK("http://www.ncbi.nlm.nih.gov/gene/93589","93589")</f>
        <v>93589</v>
      </c>
      <c r="B540" s="1" t="s">
        <v>1367</v>
      </c>
      <c r="C540" t="s">
        <v>1368</v>
      </c>
      <c r="D540">
        <v>105.1</v>
      </c>
      <c r="E540">
        <v>107.2</v>
      </c>
      <c r="F540">
        <v>98.9</v>
      </c>
      <c r="G540">
        <v>97.7</v>
      </c>
      <c r="H540">
        <v>138.69999999999999</v>
      </c>
      <c r="I540">
        <v>141.9</v>
      </c>
      <c r="J540">
        <v>100</v>
      </c>
      <c r="K540">
        <v>100</v>
      </c>
      <c r="L540" s="1" t="s">
        <v>1367</v>
      </c>
      <c r="M540" t="s">
        <v>817</v>
      </c>
      <c r="N540">
        <v>2</v>
      </c>
    </row>
    <row r="541" spans="1:14" x14ac:dyDescent="0.25">
      <c r="A541" s="3" t="str">
        <f>HYPERLINK("http://www.ncbi.nlm.nih.gov/gene/783","783")</f>
        <v>783</v>
      </c>
      <c r="B541" s="1" t="s">
        <v>1369</v>
      </c>
      <c r="C541" t="s">
        <v>1370</v>
      </c>
      <c r="D541">
        <v>153.4</v>
      </c>
      <c r="E541">
        <v>157.5</v>
      </c>
      <c r="F541">
        <v>98.6</v>
      </c>
      <c r="G541">
        <v>98.5</v>
      </c>
      <c r="H541">
        <v>133.30000000000001</v>
      </c>
      <c r="I541">
        <v>137.80000000000001</v>
      </c>
      <c r="J541">
        <v>100</v>
      </c>
      <c r="K541">
        <v>100</v>
      </c>
      <c r="L541" s="1" t="s">
        <v>1369</v>
      </c>
      <c r="M541" t="s">
        <v>1371</v>
      </c>
      <c r="N541">
        <v>2</v>
      </c>
    </row>
    <row r="542" spans="1:14" x14ac:dyDescent="0.25">
      <c r="A542" s="3" t="str">
        <f>HYPERLINK("http://www.ncbi.nlm.nih.gov/gene/785","785")</f>
        <v>785</v>
      </c>
      <c r="B542" s="1" t="s">
        <v>1372</v>
      </c>
      <c r="C542" t="s">
        <v>1373</v>
      </c>
      <c r="D542">
        <v>118.9</v>
      </c>
      <c r="E542">
        <v>122.4</v>
      </c>
      <c r="F542">
        <v>95.5</v>
      </c>
      <c r="G542">
        <v>94.3</v>
      </c>
      <c r="H542">
        <v>153.19999999999999</v>
      </c>
      <c r="I542">
        <v>158.5</v>
      </c>
      <c r="J542">
        <v>100</v>
      </c>
      <c r="K542">
        <v>100</v>
      </c>
      <c r="L542" s="1" t="s">
        <v>1372</v>
      </c>
      <c r="M542" t="s">
        <v>1374</v>
      </c>
      <c r="N542">
        <v>3</v>
      </c>
    </row>
    <row r="543" spans="1:14" x14ac:dyDescent="0.25">
      <c r="A543" s="3" t="str">
        <f>HYPERLINK("http://www.ncbi.nlm.nih.gov/gene/10369","10369")</f>
        <v>10369</v>
      </c>
      <c r="B543" s="1" t="s">
        <v>1375</v>
      </c>
      <c r="C543" t="s">
        <v>1376</v>
      </c>
      <c r="D543">
        <v>147.30000000000001</v>
      </c>
      <c r="E543">
        <v>123.8</v>
      </c>
      <c r="F543">
        <v>100</v>
      </c>
      <c r="G543">
        <v>100</v>
      </c>
      <c r="H543">
        <v>155</v>
      </c>
      <c r="I543">
        <v>159</v>
      </c>
      <c r="J543">
        <v>100</v>
      </c>
      <c r="K543">
        <v>100</v>
      </c>
      <c r="L543" s="1" t="s">
        <v>1375</v>
      </c>
      <c r="M543" t="s">
        <v>285</v>
      </c>
      <c r="N543">
        <v>1</v>
      </c>
    </row>
    <row r="544" spans="1:14" x14ac:dyDescent="0.25">
      <c r="A544" s="3" t="str">
        <f>HYPERLINK("http://www.ncbi.nlm.nih.gov/gene/790","790")</f>
        <v>790</v>
      </c>
      <c r="B544" s="1" t="s">
        <v>1377</v>
      </c>
      <c r="C544" t="s">
        <v>1378</v>
      </c>
      <c r="D544">
        <v>145.9</v>
      </c>
      <c r="E544">
        <v>150.4</v>
      </c>
      <c r="F544">
        <v>100</v>
      </c>
      <c r="G544">
        <v>99.2</v>
      </c>
      <c r="H544">
        <v>134.19999999999999</v>
      </c>
      <c r="I544">
        <v>138.30000000000001</v>
      </c>
      <c r="J544">
        <v>100</v>
      </c>
      <c r="K544">
        <v>100</v>
      </c>
      <c r="L544" s="1" t="s">
        <v>1377</v>
      </c>
      <c r="M544" t="s">
        <v>214</v>
      </c>
      <c r="N544">
        <v>5</v>
      </c>
    </row>
    <row r="545" spans="1:14" x14ac:dyDescent="0.25">
      <c r="A545" s="3" t="str">
        <f>HYPERLINK("http://www.ncbi.nlm.nih.gov/gene/57863","57863")</f>
        <v>57863</v>
      </c>
      <c r="B545" s="1" t="s">
        <v>1379</v>
      </c>
      <c r="C545" t="s">
        <v>1380</v>
      </c>
      <c r="D545">
        <v>99.9</v>
      </c>
      <c r="E545">
        <v>104.1</v>
      </c>
      <c r="F545">
        <v>100</v>
      </c>
      <c r="G545">
        <v>99.9</v>
      </c>
      <c r="H545">
        <v>130.9</v>
      </c>
      <c r="I545">
        <v>134.69999999999999</v>
      </c>
      <c r="J545">
        <v>100</v>
      </c>
      <c r="K545">
        <v>100</v>
      </c>
      <c r="L545" s="1" t="s">
        <v>1379</v>
      </c>
      <c r="M545" t="s">
        <v>718</v>
      </c>
      <c r="N545">
        <v>2</v>
      </c>
    </row>
    <row r="546" spans="1:14" x14ac:dyDescent="0.25">
      <c r="A546" s="3" t="str">
        <f>HYPERLINK("http://www.ncbi.nlm.nih.gov/gene/801","801")</f>
        <v>801</v>
      </c>
      <c r="B546" s="1" t="s">
        <v>1381</v>
      </c>
      <c r="C546" t="s">
        <v>1382</v>
      </c>
      <c r="D546">
        <v>129.9</v>
      </c>
      <c r="E546">
        <v>129.69999999999999</v>
      </c>
      <c r="F546">
        <v>100</v>
      </c>
      <c r="G546">
        <v>99.4</v>
      </c>
      <c r="H546">
        <v>129.69999999999999</v>
      </c>
      <c r="I546">
        <v>133.1</v>
      </c>
      <c r="J546">
        <v>100</v>
      </c>
      <c r="K546">
        <v>100</v>
      </c>
      <c r="L546" s="1" t="s">
        <v>1381</v>
      </c>
      <c r="M546" t="s">
        <v>197</v>
      </c>
      <c r="N546">
        <v>2</v>
      </c>
    </row>
    <row r="547" spans="1:14" x14ac:dyDescent="0.25">
      <c r="A547" s="3" t="str">
        <f>HYPERLINK("http://www.ncbi.nlm.nih.gov/gene/805","805")</f>
        <v>805</v>
      </c>
      <c r="B547" s="1" t="s">
        <v>1383</v>
      </c>
      <c r="C547" t="s">
        <v>1384</v>
      </c>
      <c r="D547">
        <v>52.9</v>
      </c>
      <c r="E547">
        <v>52.1</v>
      </c>
      <c r="F547">
        <v>67.8</v>
      </c>
      <c r="G547">
        <v>65.099999999999994</v>
      </c>
      <c r="H547">
        <v>108.7</v>
      </c>
      <c r="I547">
        <v>111.5</v>
      </c>
      <c r="J547">
        <v>72</v>
      </c>
      <c r="K547">
        <v>72</v>
      </c>
      <c r="L547" s="1" t="s">
        <v>1383</v>
      </c>
      <c r="M547" t="s">
        <v>197</v>
      </c>
      <c r="N547">
        <v>2</v>
      </c>
    </row>
    <row r="548" spans="1:14" x14ac:dyDescent="0.25">
      <c r="A548" s="3" t="str">
        <f>HYPERLINK("http://www.ncbi.nlm.nih.gov/gene/808","808")</f>
        <v>808</v>
      </c>
      <c r="B548" s="1" t="s">
        <v>1385</v>
      </c>
      <c r="C548" t="s">
        <v>1386</v>
      </c>
      <c r="D548">
        <v>102.8</v>
      </c>
      <c r="E548">
        <v>104.1</v>
      </c>
      <c r="F548">
        <v>100</v>
      </c>
      <c r="G548">
        <v>99.1</v>
      </c>
      <c r="H548">
        <v>130.4</v>
      </c>
      <c r="I548">
        <v>133.4</v>
      </c>
      <c r="J548">
        <v>100</v>
      </c>
      <c r="K548">
        <v>100</v>
      </c>
      <c r="L548" s="1" t="s">
        <v>1385</v>
      </c>
      <c r="M548" t="s">
        <v>197</v>
      </c>
      <c r="N548">
        <v>2</v>
      </c>
    </row>
    <row r="549" spans="1:14" x14ac:dyDescent="0.25">
      <c r="A549" s="3" t="str">
        <f>HYPERLINK("http://www.ncbi.nlm.nih.gov/gene/811","811")</f>
        <v>811</v>
      </c>
      <c r="B549" s="1" t="s">
        <v>1387</v>
      </c>
      <c r="C549" t="s">
        <v>1388</v>
      </c>
      <c r="D549">
        <v>124.2</v>
      </c>
      <c r="E549">
        <v>124.4</v>
      </c>
      <c r="F549">
        <v>94.8</v>
      </c>
      <c r="G549">
        <v>89.1</v>
      </c>
      <c r="H549">
        <v>149.6</v>
      </c>
      <c r="I549">
        <v>153.1</v>
      </c>
      <c r="J549">
        <v>100</v>
      </c>
      <c r="K549">
        <v>100</v>
      </c>
      <c r="L549" s="1" t="s">
        <v>1387</v>
      </c>
      <c r="M549" t="s">
        <v>1389</v>
      </c>
      <c r="N549">
        <v>3</v>
      </c>
    </row>
    <row r="550" spans="1:14" x14ac:dyDescent="0.25">
      <c r="A550" s="3" t="str">
        <f>HYPERLINK("http://www.ncbi.nlm.nih.gov/gene/815","815")</f>
        <v>815</v>
      </c>
      <c r="B550" s="1" t="s">
        <v>1390</v>
      </c>
      <c r="C550" t="s">
        <v>1391</v>
      </c>
      <c r="D550">
        <v>127.6</v>
      </c>
      <c r="E550">
        <v>130.4</v>
      </c>
      <c r="F550">
        <v>99.9</v>
      </c>
      <c r="G550">
        <v>99</v>
      </c>
      <c r="H550">
        <v>131.19999999999999</v>
      </c>
      <c r="I550">
        <v>134.5</v>
      </c>
      <c r="J550">
        <v>99.8</v>
      </c>
      <c r="K550">
        <v>98.7</v>
      </c>
      <c r="L550" s="1" t="s">
        <v>1390</v>
      </c>
      <c r="M550" t="s">
        <v>1392</v>
      </c>
      <c r="N550">
        <v>3</v>
      </c>
    </row>
    <row r="551" spans="1:14" x14ac:dyDescent="0.25">
      <c r="A551" s="3" t="str">
        <f>HYPERLINK("http://www.ncbi.nlm.nih.gov/gene/816","816")</f>
        <v>816</v>
      </c>
      <c r="B551" s="1" t="s">
        <v>1393</v>
      </c>
      <c r="C551" t="s">
        <v>1394</v>
      </c>
      <c r="D551">
        <v>109.2</v>
      </c>
      <c r="E551">
        <v>110.9</v>
      </c>
      <c r="F551">
        <v>100</v>
      </c>
      <c r="G551">
        <v>99.8</v>
      </c>
      <c r="H551">
        <v>125.1</v>
      </c>
      <c r="I551">
        <v>127.6</v>
      </c>
      <c r="J551">
        <v>100</v>
      </c>
      <c r="K551">
        <v>100</v>
      </c>
      <c r="L551" s="1" t="s">
        <v>1393</v>
      </c>
      <c r="M551" t="s">
        <v>189</v>
      </c>
      <c r="N551">
        <v>2</v>
      </c>
    </row>
    <row r="552" spans="1:14" x14ac:dyDescent="0.25">
      <c r="A552" s="3" t="str">
        <f>HYPERLINK("http://www.ncbi.nlm.nih.gov/gene/818","818")</f>
        <v>818</v>
      </c>
      <c r="B552" s="1" t="s">
        <v>1395</v>
      </c>
      <c r="C552" t="s">
        <v>1396</v>
      </c>
      <c r="D552">
        <v>124.1</v>
      </c>
      <c r="E552">
        <v>126.9</v>
      </c>
      <c r="F552">
        <v>99.9</v>
      </c>
      <c r="G552">
        <v>98.1</v>
      </c>
      <c r="H552">
        <v>139.9</v>
      </c>
      <c r="I552">
        <v>142.4</v>
      </c>
      <c r="J552">
        <v>100</v>
      </c>
      <c r="K552">
        <v>100</v>
      </c>
      <c r="L552" s="1" t="s">
        <v>1395</v>
      </c>
      <c r="M552" t="s">
        <v>189</v>
      </c>
      <c r="N552">
        <v>2</v>
      </c>
    </row>
    <row r="553" spans="1:14" x14ac:dyDescent="0.25">
      <c r="A553" s="3" t="str">
        <f>HYPERLINK("http://www.ncbi.nlm.nih.gov/gene/23261","23261")</f>
        <v>23261</v>
      </c>
      <c r="B553" s="1" t="s">
        <v>1397</v>
      </c>
      <c r="C553" t="s">
        <v>1398</v>
      </c>
      <c r="D553">
        <v>193.7</v>
      </c>
      <c r="E553">
        <v>189.7</v>
      </c>
      <c r="F553">
        <v>100</v>
      </c>
      <c r="G553">
        <v>99.5</v>
      </c>
      <c r="H553">
        <v>149</v>
      </c>
      <c r="I553">
        <v>150.9</v>
      </c>
      <c r="J553">
        <v>100</v>
      </c>
      <c r="K553">
        <v>100</v>
      </c>
      <c r="L553" s="1" t="s">
        <v>1397</v>
      </c>
      <c r="M553" t="s">
        <v>1357</v>
      </c>
      <c r="N553">
        <v>3</v>
      </c>
    </row>
    <row r="554" spans="1:14" x14ac:dyDescent="0.25">
      <c r="A554" s="3" t="str">
        <f>HYPERLINK("http://www.ncbi.nlm.nih.gov/gene/124583","124583")</f>
        <v>124583</v>
      </c>
      <c r="B554" s="1" t="s">
        <v>1399</v>
      </c>
      <c r="C554" t="s">
        <v>1400</v>
      </c>
      <c r="D554">
        <v>164.7</v>
      </c>
      <c r="E554">
        <v>153.30000000000001</v>
      </c>
      <c r="F554">
        <v>100</v>
      </c>
      <c r="G554">
        <v>99.9</v>
      </c>
      <c r="H554">
        <v>151.19999999999999</v>
      </c>
      <c r="I554">
        <v>154.69999999999999</v>
      </c>
      <c r="J554">
        <v>100</v>
      </c>
      <c r="K554">
        <v>100</v>
      </c>
      <c r="L554" s="1" t="s">
        <v>1399</v>
      </c>
      <c r="M554" t="s">
        <v>468</v>
      </c>
      <c r="N554">
        <v>5</v>
      </c>
    </row>
    <row r="555" spans="1:14" x14ac:dyDescent="0.25">
      <c r="A555" s="3" t="str">
        <f>HYPERLINK("http://www.ncbi.nlm.nih.gov/gene/823","823")</f>
        <v>823</v>
      </c>
      <c r="B555" s="1" t="s">
        <v>1401</v>
      </c>
      <c r="C555" t="s">
        <v>1402</v>
      </c>
      <c r="D555">
        <v>166.1</v>
      </c>
      <c r="E555">
        <v>170.9</v>
      </c>
      <c r="F555">
        <v>100</v>
      </c>
      <c r="G555">
        <v>100</v>
      </c>
      <c r="H555">
        <v>139.6</v>
      </c>
      <c r="I555">
        <v>143.19999999999999</v>
      </c>
      <c r="J555">
        <v>100</v>
      </c>
      <c r="K555">
        <v>100</v>
      </c>
      <c r="L555" s="1" t="s">
        <v>1401</v>
      </c>
      <c r="M555" t="s">
        <v>838</v>
      </c>
      <c r="N555">
        <v>3</v>
      </c>
    </row>
    <row r="556" spans="1:14" x14ac:dyDescent="0.25">
      <c r="A556" s="3" t="str">
        <f>HYPERLINK("http://www.ncbi.nlm.nih.gov/gene/11132","11132")</f>
        <v>11132</v>
      </c>
      <c r="B556" s="1" t="s">
        <v>1403</v>
      </c>
      <c r="C556" t="s">
        <v>1404</v>
      </c>
      <c r="D556">
        <v>110.6</v>
      </c>
      <c r="E556">
        <v>120</v>
      </c>
      <c r="F556">
        <v>100</v>
      </c>
      <c r="G556">
        <v>99.6</v>
      </c>
      <c r="H556">
        <v>152</v>
      </c>
      <c r="I556">
        <v>156.5</v>
      </c>
      <c r="J556">
        <v>100</v>
      </c>
      <c r="K556">
        <v>100</v>
      </c>
      <c r="L556" s="1" t="s">
        <v>1403</v>
      </c>
      <c r="M556" t="s">
        <v>53</v>
      </c>
      <c r="N556">
        <v>2</v>
      </c>
    </row>
    <row r="557" spans="1:14" x14ac:dyDescent="0.25">
      <c r="A557" s="3" t="str">
        <f>HYPERLINK("http://www.ncbi.nlm.nih.gov/gene/147968","147968")</f>
        <v>147968</v>
      </c>
      <c r="B557" s="1" t="s">
        <v>1405</v>
      </c>
      <c r="D557">
        <v>108.7</v>
      </c>
      <c r="E557">
        <v>108.5</v>
      </c>
      <c r="F557">
        <v>94</v>
      </c>
      <c r="G557">
        <v>88.6</v>
      </c>
      <c r="H557">
        <v>148.19999999999999</v>
      </c>
      <c r="I557">
        <v>150.30000000000001</v>
      </c>
      <c r="J557">
        <v>100</v>
      </c>
      <c r="K557">
        <v>100</v>
      </c>
      <c r="L557" s="1" t="s">
        <v>1405</v>
      </c>
      <c r="M557" t="s">
        <v>47</v>
      </c>
      <c r="N557">
        <v>2</v>
      </c>
    </row>
    <row r="558" spans="1:14" x14ac:dyDescent="0.25">
      <c r="A558" s="3" t="str">
        <f>HYPERLINK("http://www.ncbi.nlm.nih.gov/gene/825","825")</f>
        <v>825</v>
      </c>
      <c r="B558" s="1" t="s">
        <v>1406</v>
      </c>
      <c r="C558" t="s">
        <v>1407</v>
      </c>
      <c r="D558">
        <v>113.3</v>
      </c>
      <c r="E558">
        <v>118.2</v>
      </c>
      <c r="F558">
        <v>97.8</v>
      </c>
      <c r="G558">
        <v>97.2</v>
      </c>
      <c r="H558">
        <v>122.2</v>
      </c>
      <c r="I558">
        <v>124.7</v>
      </c>
      <c r="J558">
        <v>97.9</v>
      </c>
      <c r="K558">
        <v>97.9</v>
      </c>
      <c r="L558" s="1" t="s">
        <v>1406</v>
      </c>
      <c r="M558" t="s">
        <v>1408</v>
      </c>
      <c r="N558">
        <v>3</v>
      </c>
    </row>
    <row r="559" spans="1:14" x14ac:dyDescent="0.25">
      <c r="A559" s="3" t="str">
        <f>HYPERLINK("http://www.ncbi.nlm.nih.gov/gene/726","726")</f>
        <v>726</v>
      </c>
      <c r="B559" s="1" t="s">
        <v>1409</v>
      </c>
      <c r="C559" t="s">
        <v>1410</v>
      </c>
      <c r="D559">
        <v>145.4</v>
      </c>
      <c r="E559">
        <v>155.80000000000001</v>
      </c>
      <c r="F559">
        <v>100</v>
      </c>
      <c r="G559">
        <v>100</v>
      </c>
      <c r="H559">
        <v>144.69999999999999</v>
      </c>
      <c r="I559">
        <v>149.4</v>
      </c>
      <c r="J559">
        <v>100</v>
      </c>
      <c r="K559">
        <v>100</v>
      </c>
      <c r="L559" s="1" t="s">
        <v>1409</v>
      </c>
      <c r="M559" t="s">
        <v>302</v>
      </c>
      <c r="N559">
        <v>2</v>
      </c>
    </row>
    <row r="560" spans="1:14" x14ac:dyDescent="0.25">
      <c r="A560" s="3" t="str">
        <f>HYPERLINK("http://www.ncbi.nlm.nih.gov/gene/84433","84433")</f>
        <v>84433</v>
      </c>
      <c r="B560" s="1" t="s">
        <v>1411</v>
      </c>
      <c r="C560" t="s">
        <v>1412</v>
      </c>
      <c r="D560">
        <v>142</v>
      </c>
      <c r="E560">
        <v>150.30000000000001</v>
      </c>
      <c r="F560">
        <v>100</v>
      </c>
      <c r="G560">
        <v>99.9</v>
      </c>
      <c r="H560">
        <v>145</v>
      </c>
      <c r="I560">
        <v>149.30000000000001</v>
      </c>
      <c r="J560">
        <v>100</v>
      </c>
      <c r="K560">
        <v>100</v>
      </c>
      <c r="L560" s="1" t="s">
        <v>1411</v>
      </c>
      <c r="M560" t="s">
        <v>1413</v>
      </c>
      <c r="N560">
        <v>4</v>
      </c>
    </row>
    <row r="561" spans="1:14" x14ac:dyDescent="0.25">
      <c r="A561" s="3" t="str">
        <f>HYPERLINK("http://www.ncbi.nlm.nih.gov/gene/79092","79092")</f>
        <v>79092</v>
      </c>
      <c r="B561" s="1" t="s">
        <v>1414</v>
      </c>
      <c r="C561" t="s">
        <v>1415</v>
      </c>
      <c r="D561">
        <v>119.3</v>
      </c>
      <c r="E561">
        <v>125.1</v>
      </c>
      <c r="F561">
        <v>100</v>
      </c>
      <c r="G561">
        <v>98.9</v>
      </c>
      <c r="H561">
        <v>141.5</v>
      </c>
      <c r="I561">
        <v>146.19999999999999</v>
      </c>
      <c r="J561">
        <v>100</v>
      </c>
      <c r="K561">
        <v>100</v>
      </c>
      <c r="L561" s="1" t="s">
        <v>1414</v>
      </c>
      <c r="M561" t="s">
        <v>627</v>
      </c>
      <c r="N561">
        <v>3</v>
      </c>
    </row>
    <row r="562" spans="1:14" x14ac:dyDescent="0.25">
      <c r="A562" s="3" t="str">
        <f>HYPERLINK("http://www.ncbi.nlm.nih.gov/gene/64170","64170")</f>
        <v>64170</v>
      </c>
      <c r="B562" s="1" t="s">
        <v>1416</v>
      </c>
      <c r="C562" t="s">
        <v>1417</v>
      </c>
      <c r="D562">
        <v>111.3</v>
      </c>
      <c r="E562">
        <v>112.5</v>
      </c>
      <c r="F562">
        <v>99.9</v>
      </c>
      <c r="G562">
        <v>98.4</v>
      </c>
      <c r="H562">
        <v>150.1</v>
      </c>
      <c r="I562">
        <v>153.69999999999999</v>
      </c>
      <c r="J562">
        <v>100</v>
      </c>
      <c r="K562">
        <v>100</v>
      </c>
      <c r="L562" s="1" t="s">
        <v>1416</v>
      </c>
      <c r="M562" t="s">
        <v>225</v>
      </c>
      <c r="N562">
        <v>4</v>
      </c>
    </row>
    <row r="563" spans="1:14" x14ac:dyDescent="0.25">
      <c r="A563" s="3" t="str">
        <f>HYPERLINK("http://www.ncbi.nlm.nih.gov/gene/146206","146206")</f>
        <v>146206</v>
      </c>
      <c r="B563" s="1" t="s">
        <v>1418</v>
      </c>
      <c r="C563" t="s">
        <v>1419</v>
      </c>
      <c r="D563">
        <v>144.30000000000001</v>
      </c>
      <c r="E563">
        <v>144.19999999999999</v>
      </c>
      <c r="F563">
        <v>96.3</v>
      </c>
      <c r="G563">
        <v>94.5</v>
      </c>
      <c r="H563">
        <v>129.80000000000001</v>
      </c>
      <c r="I563">
        <v>131.80000000000001</v>
      </c>
      <c r="J563">
        <v>99.7</v>
      </c>
      <c r="K563">
        <v>98.2</v>
      </c>
      <c r="L563" s="1" t="s">
        <v>1418</v>
      </c>
      <c r="M563" t="s">
        <v>1420</v>
      </c>
      <c r="N563">
        <v>3</v>
      </c>
    </row>
    <row r="564" spans="1:14" x14ac:dyDescent="0.25">
      <c r="A564" s="3" t="str">
        <f>HYPERLINK("http://www.ncbi.nlm.nih.gov/gene/79587","79587")</f>
        <v>79587</v>
      </c>
      <c r="B564" s="1" t="s">
        <v>1421</v>
      </c>
      <c r="C564" t="s">
        <v>1422</v>
      </c>
      <c r="D564">
        <v>128.6</v>
      </c>
      <c r="E564">
        <v>131.30000000000001</v>
      </c>
      <c r="F564">
        <v>100</v>
      </c>
      <c r="G564">
        <v>100</v>
      </c>
      <c r="H564">
        <v>136.80000000000001</v>
      </c>
      <c r="I564">
        <v>140.9</v>
      </c>
      <c r="J564">
        <v>100</v>
      </c>
      <c r="K564">
        <v>99.2</v>
      </c>
      <c r="L564" s="1" t="s">
        <v>1421</v>
      </c>
      <c r="M564" t="s">
        <v>830</v>
      </c>
      <c r="N564">
        <v>4</v>
      </c>
    </row>
    <row r="565" spans="1:14" x14ac:dyDescent="0.25">
      <c r="A565" s="3" t="str">
        <f>HYPERLINK("http://www.ncbi.nlm.nih.gov/gene/8573","8573")</f>
        <v>8573</v>
      </c>
      <c r="B565" s="1" t="s">
        <v>1423</v>
      </c>
      <c r="C565" t="s">
        <v>1424</v>
      </c>
      <c r="D565">
        <v>100.8</v>
      </c>
      <c r="E565">
        <v>103.9</v>
      </c>
      <c r="F565">
        <v>97.3</v>
      </c>
      <c r="G565">
        <v>94.2</v>
      </c>
      <c r="H565">
        <v>118.9</v>
      </c>
      <c r="I565">
        <v>122.3</v>
      </c>
      <c r="J565">
        <v>100</v>
      </c>
      <c r="K565">
        <v>100</v>
      </c>
      <c r="L565" s="1" t="s">
        <v>1423</v>
      </c>
      <c r="M565" t="s">
        <v>1425</v>
      </c>
      <c r="N565">
        <v>3</v>
      </c>
    </row>
    <row r="566" spans="1:14" x14ac:dyDescent="0.25">
      <c r="A566" s="3" t="str">
        <f>HYPERLINK("http://www.ncbi.nlm.nih.gov/gene/843","843")</f>
        <v>843</v>
      </c>
      <c r="B566" s="1" t="s">
        <v>1426</v>
      </c>
      <c r="C566" t="s">
        <v>1427</v>
      </c>
      <c r="D566">
        <v>131.1</v>
      </c>
      <c r="E566">
        <v>129.9</v>
      </c>
      <c r="F566">
        <v>99.5</v>
      </c>
      <c r="G566">
        <v>97.3</v>
      </c>
      <c r="H566">
        <v>129.80000000000001</v>
      </c>
      <c r="I566">
        <v>134.30000000000001</v>
      </c>
      <c r="J566">
        <v>100</v>
      </c>
      <c r="K566">
        <v>100</v>
      </c>
      <c r="L566" s="1" t="s">
        <v>1426</v>
      </c>
      <c r="M566" t="s">
        <v>1428</v>
      </c>
      <c r="N566">
        <v>3</v>
      </c>
    </row>
    <row r="567" spans="1:14" x14ac:dyDescent="0.25">
      <c r="A567" s="3" t="str">
        <f>HYPERLINK("http://www.ncbi.nlm.nih.gov/gene/23581","23581")</f>
        <v>23581</v>
      </c>
      <c r="B567" s="1" t="s">
        <v>1429</v>
      </c>
      <c r="C567" t="s">
        <v>1430</v>
      </c>
      <c r="D567">
        <v>95.4</v>
      </c>
      <c r="E567">
        <v>99.6</v>
      </c>
      <c r="F567">
        <v>100</v>
      </c>
      <c r="G567">
        <v>100</v>
      </c>
      <c r="H567">
        <v>124.7</v>
      </c>
      <c r="I567">
        <v>128.5</v>
      </c>
      <c r="J567">
        <v>100</v>
      </c>
      <c r="K567">
        <v>100</v>
      </c>
      <c r="L567" s="1" t="s">
        <v>1429</v>
      </c>
      <c r="M567" t="s">
        <v>246</v>
      </c>
      <c r="N567">
        <v>3</v>
      </c>
    </row>
    <row r="568" spans="1:14" x14ac:dyDescent="0.25">
      <c r="A568" s="3" t="str">
        <f>HYPERLINK("http://www.ncbi.nlm.nih.gov/gene/841","841")</f>
        <v>841</v>
      </c>
      <c r="B568" s="1" t="s">
        <v>1431</v>
      </c>
      <c r="C568" t="s">
        <v>1432</v>
      </c>
      <c r="D568">
        <v>148.1</v>
      </c>
      <c r="E568">
        <v>154.80000000000001</v>
      </c>
      <c r="F568">
        <v>95.6</v>
      </c>
      <c r="G568">
        <v>95.4</v>
      </c>
      <c r="H568">
        <v>125.7</v>
      </c>
      <c r="I568">
        <v>125.1</v>
      </c>
      <c r="J568">
        <v>95.6</v>
      </c>
      <c r="K568">
        <v>95.6</v>
      </c>
      <c r="L568" s="1" t="s">
        <v>1431</v>
      </c>
      <c r="M568" t="s">
        <v>1097</v>
      </c>
      <c r="N568">
        <v>3</v>
      </c>
    </row>
    <row r="569" spans="1:14" x14ac:dyDescent="0.25">
      <c r="A569" s="3" t="str">
        <f>HYPERLINK("http://www.ncbi.nlm.nih.gov/gene/844","844")</f>
        <v>844</v>
      </c>
      <c r="B569" s="1" t="s">
        <v>1433</v>
      </c>
      <c r="C569" t="s">
        <v>1434</v>
      </c>
      <c r="D569">
        <v>111.7</v>
      </c>
      <c r="E569">
        <v>118.3</v>
      </c>
      <c r="F569">
        <v>100</v>
      </c>
      <c r="G569">
        <v>99.5</v>
      </c>
      <c r="H569">
        <v>127.8</v>
      </c>
      <c r="I569">
        <v>130.19999999999999</v>
      </c>
      <c r="J569">
        <v>100</v>
      </c>
      <c r="K569">
        <v>100</v>
      </c>
      <c r="L569" s="1" t="s">
        <v>1433</v>
      </c>
      <c r="M569" t="s">
        <v>1435</v>
      </c>
      <c r="N569">
        <v>2</v>
      </c>
    </row>
    <row r="570" spans="1:14" x14ac:dyDescent="0.25">
      <c r="A570" s="3" t="str">
        <f>HYPERLINK("http://www.ncbi.nlm.nih.gov/gene/845","845")</f>
        <v>845</v>
      </c>
      <c r="B570" s="1" t="s">
        <v>1436</v>
      </c>
      <c r="C570" t="s">
        <v>1437</v>
      </c>
      <c r="D570">
        <v>145.5</v>
      </c>
      <c r="E570">
        <v>150.69999999999999</v>
      </c>
      <c r="F570">
        <v>100</v>
      </c>
      <c r="G570">
        <v>100</v>
      </c>
      <c r="H570">
        <v>131.4</v>
      </c>
      <c r="I570">
        <v>135.19999999999999</v>
      </c>
      <c r="J570">
        <v>100</v>
      </c>
      <c r="K570">
        <v>100</v>
      </c>
      <c r="L570" s="1" t="s">
        <v>1436</v>
      </c>
      <c r="M570" t="s">
        <v>1438</v>
      </c>
      <c r="N570">
        <v>4</v>
      </c>
    </row>
    <row r="571" spans="1:14" x14ac:dyDescent="0.25">
      <c r="A571" s="3" t="str">
        <f>HYPERLINK("http://www.ncbi.nlm.nih.gov/gene/846","846")</f>
        <v>846</v>
      </c>
      <c r="B571" s="1" t="s">
        <v>1439</v>
      </c>
      <c r="C571" t="s">
        <v>1440</v>
      </c>
      <c r="D571">
        <v>162.80000000000001</v>
      </c>
      <c r="E571">
        <v>155.80000000000001</v>
      </c>
      <c r="F571">
        <v>100</v>
      </c>
      <c r="G571">
        <v>99.9</v>
      </c>
      <c r="H571">
        <v>146.6</v>
      </c>
      <c r="I571">
        <v>148.5</v>
      </c>
      <c r="J571">
        <v>100</v>
      </c>
      <c r="K571">
        <v>100</v>
      </c>
      <c r="L571" s="1" t="s">
        <v>1439</v>
      </c>
      <c r="M571" t="s">
        <v>1441</v>
      </c>
      <c r="N571">
        <v>4</v>
      </c>
    </row>
    <row r="572" spans="1:14" x14ac:dyDescent="0.25">
      <c r="A572" s="3" t="str">
        <f>HYPERLINK("http://www.ncbi.nlm.nih.gov/gene/831","831")</f>
        <v>831</v>
      </c>
      <c r="B572" s="1" t="s">
        <v>1442</v>
      </c>
      <c r="C572" t="s">
        <v>1443</v>
      </c>
      <c r="D572">
        <v>130.1</v>
      </c>
      <c r="E572">
        <v>132.6</v>
      </c>
      <c r="F572">
        <v>98.3</v>
      </c>
      <c r="G572">
        <v>95.4</v>
      </c>
      <c r="H572">
        <v>115.5</v>
      </c>
      <c r="I572">
        <v>117.6</v>
      </c>
      <c r="J572">
        <v>100</v>
      </c>
      <c r="K572">
        <v>100</v>
      </c>
      <c r="L572" s="1" t="s">
        <v>1442</v>
      </c>
      <c r="M572" t="s">
        <v>246</v>
      </c>
      <c r="N572">
        <v>3</v>
      </c>
    </row>
    <row r="573" spans="1:14" x14ac:dyDescent="0.25">
      <c r="A573" s="3" t="str">
        <f>HYPERLINK("http://www.ncbi.nlm.nih.gov/gene/847","847")</f>
        <v>847</v>
      </c>
      <c r="B573" s="1" t="s">
        <v>1444</v>
      </c>
      <c r="D573">
        <v>155.19999999999999</v>
      </c>
      <c r="E573">
        <v>160.19999999999999</v>
      </c>
      <c r="F573">
        <v>100</v>
      </c>
      <c r="G573">
        <v>100</v>
      </c>
      <c r="H573">
        <v>134.69999999999999</v>
      </c>
      <c r="I573">
        <v>138.4</v>
      </c>
      <c r="J573">
        <v>100</v>
      </c>
      <c r="K573">
        <v>100</v>
      </c>
      <c r="L573" s="1" t="s">
        <v>1444</v>
      </c>
      <c r="M573" t="s">
        <v>1445</v>
      </c>
      <c r="N573">
        <v>3</v>
      </c>
    </row>
    <row r="574" spans="1:14" x14ac:dyDescent="0.25">
      <c r="A574" s="3" t="str">
        <f>HYPERLINK("http://www.ncbi.nlm.nih.gov/gene/117144","117144")</f>
        <v>117144</v>
      </c>
      <c r="B574" s="1" t="s">
        <v>1446</v>
      </c>
      <c r="C574" t="s">
        <v>1447</v>
      </c>
      <c r="D574">
        <v>127.6</v>
      </c>
      <c r="E574">
        <v>131.1</v>
      </c>
      <c r="F574">
        <v>100</v>
      </c>
      <c r="G574">
        <v>100</v>
      </c>
      <c r="H574">
        <v>146.80000000000001</v>
      </c>
      <c r="I574">
        <v>150.80000000000001</v>
      </c>
      <c r="J574">
        <v>100</v>
      </c>
      <c r="K574">
        <v>100</v>
      </c>
      <c r="L574" s="1" t="s">
        <v>1446</v>
      </c>
      <c r="M574" t="s">
        <v>53</v>
      </c>
      <c r="N574">
        <v>2</v>
      </c>
    </row>
    <row r="575" spans="1:14" x14ac:dyDescent="0.25">
      <c r="A575" s="3" t="str">
        <f>HYPERLINK("http://www.ncbi.nlm.nih.gov/gene/857","857")</f>
        <v>857</v>
      </c>
      <c r="B575" s="1" t="s">
        <v>1448</v>
      </c>
      <c r="C575" t="s">
        <v>1449</v>
      </c>
      <c r="D575">
        <v>200.8</v>
      </c>
      <c r="E575">
        <v>205</v>
      </c>
      <c r="F575">
        <v>100</v>
      </c>
      <c r="G575">
        <v>100</v>
      </c>
      <c r="H575">
        <v>156.69999999999999</v>
      </c>
      <c r="I575">
        <v>161.4</v>
      </c>
      <c r="J575">
        <v>100</v>
      </c>
      <c r="K575">
        <v>100</v>
      </c>
      <c r="L575" s="1" t="s">
        <v>1448</v>
      </c>
      <c r="M575" t="s">
        <v>1450</v>
      </c>
      <c r="N575">
        <v>4</v>
      </c>
    </row>
    <row r="576" spans="1:14" x14ac:dyDescent="0.25">
      <c r="A576" s="3" t="str">
        <f>HYPERLINK("http://www.ncbi.nlm.nih.gov/gene/859","859")</f>
        <v>859</v>
      </c>
      <c r="B576" s="1" t="s">
        <v>1451</v>
      </c>
      <c r="C576" t="s">
        <v>1452</v>
      </c>
      <c r="D576">
        <v>229.4</v>
      </c>
      <c r="E576">
        <v>229.2</v>
      </c>
      <c r="F576">
        <v>100</v>
      </c>
      <c r="G576">
        <v>100</v>
      </c>
      <c r="H576">
        <v>122.1</v>
      </c>
      <c r="I576">
        <v>125.8</v>
      </c>
      <c r="J576">
        <v>100</v>
      </c>
      <c r="K576">
        <v>100</v>
      </c>
      <c r="L576" s="1" t="s">
        <v>1451</v>
      </c>
      <c r="M576" t="s">
        <v>1453</v>
      </c>
      <c r="N576">
        <v>3</v>
      </c>
    </row>
    <row r="577" spans="1:14" x14ac:dyDescent="0.25">
      <c r="A577" s="3" t="str">
        <f>HYPERLINK("http://www.ncbi.nlm.nih.gov/gene/284119","284119")</f>
        <v>284119</v>
      </c>
      <c r="B577" s="1" t="s">
        <v>1454</v>
      </c>
      <c r="C577" t="s">
        <v>1455</v>
      </c>
      <c r="D577">
        <v>171.3</v>
      </c>
      <c r="E577">
        <v>158.69999999999999</v>
      </c>
      <c r="F577">
        <v>100</v>
      </c>
      <c r="G577">
        <v>100</v>
      </c>
      <c r="H577">
        <v>152.19999999999999</v>
      </c>
      <c r="I577">
        <v>153.80000000000001</v>
      </c>
      <c r="J577">
        <v>100</v>
      </c>
      <c r="K577">
        <v>100</v>
      </c>
      <c r="L577" s="1" t="s">
        <v>1454</v>
      </c>
      <c r="M577" t="s">
        <v>1456</v>
      </c>
      <c r="N577">
        <v>5</v>
      </c>
    </row>
    <row r="578" spans="1:14" x14ac:dyDescent="0.25">
      <c r="A578" s="3" t="str">
        <f>HYPERLINK("http://www.ncbi.nlm.nih.gov/gene/867","867")</f>
        <v>867</v>
      </c>
      <c r="B578" s="1" t="s">
        <v>1457</v>
      </c>
      <c r="C578" t="s">
        <v>1458</v>
      </c>
      <c r="D578">
        <v>143.9</v>
      </c>
      <c r="E578">
        <v>152.5</v>
      </c>
      <c r="F578">
        <v>97.3</v>
      </c>
      <c r="G578">
        <v>97.1</v>
      </c>
      <c r="H578">
        <v>137.19999999999999</v>
      </c>
      <c r="I578">
        <v>141.80000000000001</v>
      </c>
      <c r="J578">
        <v>100</v>
      </c>
      <c r="K578">
        <v>100</v>
      </c>
      <c r="L578" s="1" t="s">
        <v>1457</v>
      </c>
      <c r="M578" t="s">
        <v>1459</v>
      </c>
      <c r="N578">
        <v>8</v>
      </c>
    </row>
    <row r="579" spans="1:14" x14ac:dyDescent="0.25">
      <c r="A579" s="3" t="str">
        <f>HYPERLINK("http://www.ncbi.nlm.nih.gov/gene/868","868")</f>
        <v>868</v>
      </c>
      <c r="B579" s="1" t="s">
        <v>1460</v>
      </c>
      <c r="C579" t="s">
        <v>1461</v>
      </c>
      <c r="D579">
        <v>113.4</v>
      </c>
      <c r="E579">
        <v>118.8</v>
      </c>
      <c r="F579">
        <v>100</v>
      </c>
      <c r="G579">
        <v>99.4</v>
      </c>
      <c r="H579">
        <v>141.80000000000001</v>
      </c>
      <c r="I579">
        <v>146.4</v>
      </c>
      <c r="J579">
        <v>100</v>
      </c>
      <c r="K579">
        <v>100</v>
      </c>
      <c r="L579" s="1" t="s">
        <v>1460</v>
      </c>
      <c r="M579" t="s">
        <v>1462</v>
      </c>
      <c r="N579">
        <v>2</v>
      </c>
    </row>
    <row r="580" spans="1:14" x14ac:dyDescent="0.25">
      <c r="A580" s="3" t="str">
        <f>HYPERLINK("http://www.ncbi.nlm.nih.gov/gene/2694","2694")</f>
        <v>2694</v>
      </c>
      <c r="B580" s="1" t="s">
        <v>1463</v>
      </c>
      <c r="C580" t="s">
        <v>1464</v>
      </c>
      <c r="D580">
        <v>129.69999999999999</v>
      </c>
      <c r="E580">
        <v>135.1</v>
      </c>
      <c r="F580">
        <v>100</v>
      </c>
      <c r="G580">
        <v>99.7</v>
      </c>
      <c r="H580">
        <v>127</v>
      </c>
      <c r="I580">
        <v>130.5</v>
      </c>
      <c r="J580">
        <v>100</v>
      </c>
      <c r="K580">
        <v>100</v>
      </c>
      <c r="L580" s="1" t="s">
        <v>1463</v>
      </c>
      <c r="M580" t="s">
        <v>116</v>
      </c>
      <c r="N580">
        <v>3</v>
      </c>
    </row>
    <row r="581" spans="1:14" x14ac:dyDescent="0.25">
      <c r="A581" s="3" t="str">
        <f>HYPERLINK("http://www.ncbi.nlm.nih.gov/gene/875","875")</f>
        <v>875</v>
      </c>
      <c r="B581" s="1" t="s">
        <v>1465</v>
      </c>
      <c r="C581" t="s">
        <v>1466</v>
      </c>
      <c r="D581">
        <v>121.1</v>
      </c>
      <c r="E581">
        <v>124.5</v>
      </c>
      <c r="F581">
        <v>99.8</v>
      </c>
      <c r="G581">
        <v>98.3</v>
      </c>
      <c r="H581">
        <v>220.6</v>
      </c>
      <c r="I581">
        <v>225.8</v>
      </c>
      <c r="J581">
        <v>100</v>
      </c>
      <c r="K581">
        <v>100</v>
      </c>
      <c r="L581" s="1" t="s">
        <v>1465</v>
      </c>
      <c r="M581" t="s">
        <v>1467</v>
      </c>
      <c r="N581">
        <v>6</v>
      </c>
    </row>
    <row r="582" spans="1:14" x14ac:dyDescent="0.25">
      <c r="A582" s="3" t="str">
        <f>HYPERLINK("http://www.ncbi.nlm.nih.gov/gene/55871","55871")</f>
        <v>55871</v>
      </c>
      <c r="B582" s="1" t="s">
        <v>1468</v>
      </c>
      <c r="C582" t="s">
        <v>1469</v>
      </c>
      <c r="D582">
        <v>13</v>
      </c>
      <c r="E582">
        <v>13.8</v>
      </c>
      <c r="F582">
        <v>20.8</v>
      </c>
      <c r="G582">
        <v>19.399999999999999</v>
      </c>
      <c r="H582">
        <v>182.7</v>
      </c>
      <c r="I582">
        <v>187.8</v>
      </c>
      <c r="J582">
        <v>99.6</v>
      </c>
      <c r="K582">
        <v>99.3</v>
      </c>
      <c r="L582" s="1" t="s">
        <v>1468</v>
      </c>
      <c r="M582" t="s">
        <v>998</v>
      </c>
      <c r="N582">
        <v>2</v>
      </c>
    </row>
    <row r="583" spans="1:14" x14ac:dyDescent="0.25">
      <c r="A583" s="3" t="str">
        <f>HYPERLINK("http://www.ncbi.nlm.nih.gov/gene/84733","84733")</f>
        <v>84733</v>
      </c>
      <c r="B583" s="1" t="s">
        <v>1470</v>
      </c>
      <c r="C583" t="s">
        <v>1471</v>
      </c>
      <c r="D583">
        <v>159</v>
      </c>
      <c r="E583">
        <v>148.19999999999999</v>
      </c>
      <c r="F583">
        <v>100</v>
      </c>
      <c r="G583">
        <v>99.8</v>
      </c>
      <c r="H583">
        <v>139.80000000000001</v>
      </c>
      <c r="I583">
        <v>139.30000000000001</v>
      </c>
      <c r="J583">
        <v>100</v>
      </c>
      <c r="K583">
        <v>100</v>
      </c>
      <c r="L583" s="1" t="s">
        <v>1470</v>
      </c>
      <c r="M583" t="s">
        <v>1472</v>
      </c>
      <c r="N583">
        <v>3</v>
      </c>
    </row>
    <row r="584" spans="1:14" x14ac:dyDescent="0.25">
      <c r="A584" s="3" t="str">
        <f>HYPERLINK("http://www.ncbi.nlm.nih.gov/gene/54862","54862")</f>
        <v>54862</v>
      </c>
      <c r="B584" s="1" t="s">
        <v>1473</v>
      </c>
      <c r="C584" t="s">
        <v>1474</v>
      </c>
      <c r="D584">
        <v>154.4</v>
      </c>
      <c r="E584">
        <v>151.6</v>
      </c>
      <c r="F584">
        <v>100</v>
      </c>
      <c r="G584">
        <v>99.3</v>
      </c>
      <c r="H584">
        <v>127.3</v>
      </c>
      <c r="I584">
        <v>129.5</v>
      </c>
      <c r="J584">
        <v>100</v>
      </c>
      <c r="K584">
        <v>100</v>
      </c>
      <c r="L584" s="1" t="s">
        <v>1473</v>
      </c>
      <c r="M584" t="s">
        <v>228</v>
      </c>
      <c r="N584">
        <v>3</v>
      </c>
    </row>
    <row r="585" spans="1:14" x14ac:dyDescent="0.25">
      <c r="A585" s="3" t="str">
        <f>HYPERLINK("http://www.ncbi.nlm.nih.gov/gene/57545","57545")</f>
        <v>57545</v>
      </c>
      <c r="B585" s="1" t="s">
        <v>1475</v>
      </c>
      <c r="C585" t="s">
        <v>1476</v>
      </c>
      <c r="D585">
        <v>127.2</v>
      </c>
      <c r="E585">
        <v>131.6</v>
      </c>
      <c r="F585">
        <v>98.5</v>
      </c>
      <c r="G585">
        <v>96.5</v>
      </c>
      <c r="H585">
        <v>129.5</v>
      </c>
      <c r="I585">
        <v>133.6</v>
      </c>
      <c r="J585">
        <v>97.1</v>
      </c>
      <c r="K585">
        <v>97.1</v>
      </c>
      <c r="L585" s="1" t="s">
        <v>1475</v>
      </c>
      <c r="M585" t="s">
        <v>1477</v>
      </c>
      <c r="N585">
        <v>9</v>
      </c>
    </row>
    <row r="586" spans="1:14" x14ac:dyDescent="0.25">
      <c r="A586" s="3" t="str">
        <f>HYPERLINK("http://www.ncbi.nlm.nih.gov/gene/147372","147372")</f>
        <v>147372</v>
      </c>
      <c r="B586" s="1" t="s">
        <v>1478</v>
      </c>
      <c r="C586" t="s">
        <v>1479</v>
      </c>
      <c r="D586">
        <v>79.400000000000006</v>
      </c>
      <c r="E586">
        <v>81.2</v>
      </c>
      <c r="F586">
        <v>99.8</v>
      </c>
      <c r="G586">
        <v>98.8</v>
      </c>
      <c r="H586">
        <v>134.80000000000001</v>
      </c>
      <c r="I586">
        <v>138.4</v>
      </c>
      <c r="J586">
        <v>100</v>
      </c>
      <c r="K586">
        <v>100</v>
      </c>
      <c r="L586" s="1" t="s">
        <v>1478</v>
      </c>
      <c r="M586" t="s">
        <v>1480</v>
      </c>
      <c r="N586">
        <v>6</v>
      </c>
    </row>
    <row r="587" spans="1:14" x14ac:dyDescent="0.25">
      <c r="A587" s="3" t="str">
        <f>HYPERLINK("http://www.ncbi.nlm.nih.gov/gene/388389","388389")</f>
        <v>388389</v>
      </c>
      <c r="B587" s="1" t="s">
        <v>1481</v>
      </c>
      <c r="C587" t="s">
        <v>1482</v>
      </c>
      <c r="D587">
        <v>141.1</v>
      </c>
      <c r="E587">
        <v>137</v>
      </c>
      <c r="F587">
        <v>100</v>
      </c>
      <c r="G587">
        <v>100</v>
      </c>
      <c r="H587">
        <v>141.80000000000001</v>
      </c>
      <c r="I587">
        <v>141.4</v>
      </c>
      <c r="J587">
        <v>100</v>
      </c>
      <c r="K587">
        <v>100</v>
      </c>
      <c r="L587" s="1" t="s">
        <v>1481</v>
      </c>
      <c r="M587" t="s">
        <v>1483</v>
      </c>
      <c r="N587">
        <v>3</v>
      </c>
    </row>
    <row r="588" spans="1:14" x14ac:dyDescent="0.25">
      <c r="A588" s="3" t="str">
        <f>HYPERLINK("http://www.ncbi.nlm.nih.gov/gene/84317","84317")</f>
        <v>84317</v>
      </c>
      <c r="B588" s="1" t="s">
        <v>1484</v>
      </c>
      <c r="C588" t="s">
        <v>1485</v>
      </c>
      <c r="D588">
        <v>90.7</v>
      </c>
      <c r="E588">
        <v>91.3</v>
      </c>
      <c r="F588">
        <v>95.3</v>
      </c>
      <c r="G588">
        <v>90</v>
      </c>
      <c r="H588">
        <v>142.6</v>
      </c>
      <c r="I588">
        <v>145.19999999999999</v>
      </c>
      <c r="J588">
        <v>100</v>
      </c>
      <c r="K588">
        <v>100</v>
      </c>
      <c r="L588" s="1" t="s">
        <v>1484</v>
      </c>
      <c r="M588" t="s">
        <v>38</v>
      </c>
      <c r="N588">
        <v>4</v>
      </c>
    </row>
    <row r="589" spans="1:14" x14ac:dyDescent="0.25">
      <c r="A589" s="3" t="str">
        <f>HYPERLINK("http://www.ncbi.nlm.nih.gov/gene/79879","79879")</f>
        <v>79879</v>
      </c>
      <c r="B589" s="1" t="s">
        <v>1486</v>
      </c>
      <c r="D589">
        <v>138.4</v>
      </c>
      <c r="E589">
        <v>142.30000000000001</v>
      </c>
      <c r="F589">
        <v>100</v>
      </c>
      <c r="G589">
        <v>100</v>
      </c>
      <c r="H589">
        <v>137.9</v>
      </c>
      <c r="I589">
        <v>141.19999999999999</v>
      </c>
      <c r="J589">
        <v>100</v>
      </c>
      <c r="K589">
        <v>100</v>
      </c>
      <c r="L589" s="1" t="s">
        <v>1486</v>
      </c>
      <c r="M589" t="s">
        <v>1487</v>
      </c>
      <c r="N589">
        <v>2</v>
      </c>
    </row>
    <row r="590" spans="1:14" x14ac:dyDescent="0.25">
      <c r="A590" s="3" t="str">
        <f>HYPERLINK("http://www.ncbi.nlm.nih.gov/gene/285025","285025")</f>
        <v>285025</v>
      </c>
      <c r="B590" s="1" t="s">
        <v>1488</v>
      </c>
      <c r="C590" t="s">
        <v>1489</v>
      </c>
      <c r="D590">
        <v>134</v>
      </c>
      <c r="E590">
        <v>143.69999999999999</v>
      </c>
      <c r="F590">
        <v>100</v>
      </c>
      <c r="G590">
        <v>99.5</v>
      </c>
      <c r="H590">
        <v>127</v>
      </c>
      <c r="I590">
        <v>130.5</v>
      </c>
      <c r="J590">
        <v>100</v>
      </c>
      <c r="K590">
        <v>100</v>
      </c>
      <c r="L590" s="1" t="s">
        <v>1488</v>
      </c>
      <c r="M590" t="s">
        <v>1011</v>
      </c>
      <c r="N590">
        <v>3</v>
      </c>
    </row>
    <row r="591" spans="1:14" x14ac:dyDescent="0.25">
      <c r="A591" s="3" t="str">
        <f>HYPERLINK("http://www.ncbi.nlm.nih.gov/gene/51244","51244")</f>
        <v>51244</v>
      </c>
      <c r="B591" s="1" t="s">
        <v>1490</v>
      </c>
      <c r="C591" t="s">
        <v>1491</v>
      </c>
      <c r="D591">
        <v>140.9</v>
      </c>
      <c r="E591">
        <v>140.4</v>
      </c>
      <c r="F591">
        <v>99.5</v>
      </c>
      <c r="G591">
        <v>97.1</v>
      </c>
      <c r="H591">
        <v>130.4</v>
      </c>
      <c r="I591">
        <v>134.30000000000001</v>
      </c>
      <c r="J591">
        <v>100</v>
      </c>
      <c r="K591">
        <v>100</v>
      </c>
      <c r="L591" s="1" t="s">
        <v>1490</v>
      </c>
      <c r="M591" t="s">
        <v>228</v>
      </c>
      <c r="N591">
        <v>3</v>
      </c>
    </row>
    <row r="592" spans="1:14" x14ac:dyDescent="0.25">
      <c r="A592" s="3" t="str">
        <f>HYPERLINK("http://www.ncbi.nlm.nih.gov/gene/28952","28952")</f>
        <v>28952</v>
      </c>
      <c r="B592" s="1" t="s">
        <v>1492</v>
      </c>
      <c r="C592" t="s">
        <v>1493</v>
      </c>
      <c r="D592">
        <v>106.6</v>
      </c>
      <c r="E592">
        <v>109.5</v>
      </c>
      <c r="F592">
        <v>99.6</v>
      </c>
      <c r="G592">
        <v>96.5</v>
      </c>
      <c r="H592">
        <v>130</v>
      </c>
      <c r="I592">
        <v>132.69999999999999</v>
      </c>
      <c r="J592">
        <v>100</v>
      </c>
      <c r="K592">
        <v>100</v>
      </c>
      <c r="L592" s="1" t="s">
        <v>1492</v>
      </c>
      <c r="M592" t="s">
        <v>1240</v>
      </c>
      <c r="N592">
        <v>2</v>
      </c>
    </row>
    <row r="593" spans="1:14" x14ac:dyDescent="0.25">
      <c r="A593" s="3" t="str">
        <f>HYPERLINK("http://www.ncbi.nlm.nih.gov/gene/79140","79140")</f>
        <v>79140</v>
      </c>
      <c r="B593" s="1" t="s">
        <v>1494</v>
      </c>
      <c r="D593">
        <v>99.5</v>
      </c>
      <c r="E593">
        <v>100.6</v>
      </c>
      <c r="F593">
        <v>100</v>
      </c>
      <c r="G593">
        <v>99.7</v>
      </c>
      <c r="H593">
        <v>141.9</v>
      </c>
      <c r="I593">
        <v>147</v>
      </c>
      <c r="J593">
        <v>100</v>
      </c>
      <c r="K593">
        <v>100</v>
      </c>
      <c r="L593" s="1" t="s">
        <v>1494</v>
      </c>
      <c r="M593" t="s">
        <v>1495</v>
      </c>
      <c r="N593">
        <v>2</v>
      </c>
    </row>
    <row r="594" spans="1:14" x14ac:dyDescent="0.25">
      <c r="A594" s="3" t="str">
        <f>HYPERLINK("http://www.ncbi.nlm.nih.gov/gene/90416","90416")</f>
        <v>90416</v>
      </c>
      <c r="B594" s="1" t="s">
        <v>1496</v>
      </c>
      <c r="C594" t="s">
        <v>1497</v>
      </c>
      <c r="D594">
        <v>113.8</v>
      </c>
      <c r="E594">
        <v>118.6</v>
      </c>
      <c r="F594">
        <v>100</v>
      </c>
      <c r="G594">
        <v>99.5</v>
      </c>
      <c r="H594">
        <v>149.4</v>
      </c>
      <c r="I594">
        <v>155</v>
      </c>
      <c r="J594">
        <v>100</v>
      </c>
      <c r="K594">
        <v>100</v>
      </c>
      <c r="L594" s="1" t="s">
        <v>1496</v>
      </c>
      <c r="M594" t="s">
        <v>50</v>
      </c>
      <c r="N594">
        <v>2</v>
      </c>
    </row>
    <row r="595" spans="1:14" x14ac:dyDescent="0.25">
      <c r="A595" s="3" t="str">
        <f>HYPERLINK("http://www.ncbi.nlm.nih.gov/gene/339829","339829")</f>
        <v>339829</v>
      </c>
      <c r="B595" s="1" t="s">
        <v>1498</v>
      </c>
      <c r="C595" t="s">
        <v>1499</v>
      </c>
      <c r="D595">
        <v>100.2</v>
      </c>
      <c r="E595">
        <v>103.8</v>
      </c>
      <c r="F595">
        <v>99.5</v>
      </c>
      <c r="G595">
        <v>96.5</v>
      </c>
      <c r="H595">
        <v>124.5</v>
      </c>
      <c r="I595">
        <v>128.30000000000001</v>
      </c>
      <c r="J595">
        <v>100</v>
      </c>
      <c r="K595">
        <v>100</v>
      </c>
      <c r="L595" s="1" t="s">
        <v>1498</v>
      </c>
      <c r="M595" t="s">
        <v>1500</v>
      </c>
      <c r="N595">
        <v>3</v>
      </c>
    </row>
    <row r="596" spans="1:14" x14ac:dyDescent="0.25">
      <c r="A596" s="3" t="str">
        <f>HYPERLINK("http://www.ncbi.nlm.nih.gov/gene/55036","55036")</f>
        <v>55036</v>
      </c>
      <c r="B596" s="1" t="s">
        <v>1501</v>
      </c>
      <c r="C596" t="s">
        <v>1502</v>
      </c>
      <c r="D596">
        <v>115.6</v>
      </c>
      <c r="E596">
        <v>120.5</v>
      </c>
      <c r="F596">
        <v>99.1</v>
      </c>
      <c r="G596">
        <v>98.1</v>
      </c>
      <c r="H596">
        <v>134.80000000000001</v>
      </c>
      <c r="I596">
        <v>139.4</v>
      </c>
      <c r="J596">
        <v>100</v>
      </c>
      <c r="K596">
        <v>100</v>
      </c>
      <c r="L596" s="1" t="s">
        <v>1501</v>
      </c>
      <c r="M596" t="s">
        <v>1500</v>
      </c>
      <c r="N596">
        <v>3</v>
      </c>
    </row>
    <row r="597" spans="1:14" x14ac:dyDescent="0.25">
      <c r="A597" s="3" t="str">
        <f>HYPERLINK("http://www.ncbi.nlm.nih.gov/gene/57003","57003")</f>
        <v>57003</v>
      </c>
      <c r="B597" s="1" t="s">
        <v>1503</v>
      </c>
      <c r="C597" t="s">
        <v>1504</v>
      </c>
      <c r="D597">
        <v>184.6</v>
      </c>
      <c r="E597">
        <v>189</v>
      </c>
      <c r="F597">
        <v>99.4</v>
      </c>
      <c r="G597">
        <v>97.5</v>
      </c>
      <c r="H597">
        <v>128.9</v>
      </c>
      <c r="I597">
        <v>132.69999999999999</v>
      </c>
      <c r="J597">
        <v>100</v>
      </c>
      <c r="K597">
        <v>100</v>
      </c>
      <c r="L597" s="1" t="s">
        <v>1503</v>
      </c>
      <c r="M597" t="s">
        <v>228</v>
      </c>
      <c r="N597">
        <v>3</v>
      </c>
    </row>
    <row r="598" spans="1:14" x14ac:dyDescent="0.25">
      <c r="A598" s="3" t="str">
        <f>HYPERLINK("http://www.ncbi.nlm.nih.gov/gene/152137","152137")</f>
        <v>152137</v>
      </c>
      <c r="B598" s="1" t="s">
        <v>1505</v>
      </c>
      <c r="C598" t="s">
        <v>1506</v>
      </c>
      <c r="D598">
        <v>138</v>
      </c>
      <c r="E598">
        <v>139</v>
      </c>
      <c r="F598">
        <v>100</v>
      </c>
      <c r="G598">
        <v>99.7</v>
      </c>
      <c r="H598">
        <v>119.8</v>
      </c>
      <c r="I598">
        <v>123.9</v>
      </c>
      <c r="J598">
        <v>100</v>
      </c>
      <c r="K598">
        <v>100</v>
      </c>
      <c r="L598" s="1" t="s">
        <v>1505</v>
      </c>
      <c r="M598" t="s">
        <v>76</v>
      </c>
      <c r="N598">
        <v>2</v>
      </c>
    </row>
    <row r="599" spans="1:14" x14ac:dyDescent="0.25">
      <c r="A599" s="3" t="str">
        <f>HYPERLINK("http://www.ncbi.nlm.nih.gov/gene/85478","85478")</f>
        <v>85478</v>
      </c>
      <c r="B599" s="1" t="s">
        <v>1507</v>
      </c>
      <c r="C599" t="s">
        <v>1508</v>
      </c>
      <c r="D599">
        <v>89.9</v>
      </c>
      <c r="E599">
        <v>92.8</v>
      </c>
      <c r="F599">
        <v>99.6</v>
      </c>
      <c r="G599">
        <v>97.1</v>
      </c>
      <c r="H599">
        <v>134.4</v>
      </c>
      <c r="I599">
        <v>139.30000000000001</v>
      </c>
      <c r="J599">
        <v>100</v>
      </c>
      <c r="K599">
        <v>100</v>
      </c>
      <c r="L599" s="1" t="s">
        <v>1507</v>
      </c>
      <c r="M599" t="s">
        <v>1483</v>
      </c>
      <c r="N599">
        <v>3</v>
      </c>
    </row>
    <row r="600" spans="1:14" x14ac:dyDescent="0.25">
      <c r="A600" s="3" t="str">
        <f>HYPERLINK("http://www.ncbi.nlm.nih.gov/gene/124093","124093")</f>
        <v>124093</v>
      </c>
      <c r="B600" s="1" t="s">
        <v>1509</v>
      </c>
      <c r="C600" t="s">
        <v>1510</v>
      </c>
      <c r="D600">
        <v>124.9</v>
      </c>
      <c r="E600">
        <v>124.5</v>
      </c>
      <c r="F600">
        <v>100</v>
      </c>
      <c r="G600">
        <v>100</v>
      </c>
      <c r="H600">
        <v>165.7</v>
      </c>
      <c r="I600">
        <v>168.3</v>
      </c>
      <c r="J600">
        <v>100</v>
      </c>
      <c r="K600">
        <v>100</v>
      </c>
      <c r="L600" s="1" t="s">
        <v>1509</v>
      </c>
      <c r="M600" t="s">
        <v>1511</v>
      </c>
      <c r="N600">
        <v>2</v>
      </c>
    </row>
    <row r="601" spans="1:14" x14ac:dyDescent="0.25">
      <c r="A601" s="3" t="str">
        <f>HYPERLINK("http://www.ncbi.nlm.nih.gov/gene/83987","83987")</f>
        <v>83987</v>
      </c>
      <c r="B601" s="1" t="s">
        <v>1512</v>
      </c>
      <c r="C601" t="s">
        <v>1513</v>
      </c>
      <c r="D601">
        <v>192.9</v>
      </c>
      <c r="E601">
        <v>174.4</v>
      </c>
      <c r="F601">
        <v>100</v>
      </c>
      <c r="G601">
        <v>100</v>
      </c>
      <c r="H601">
        <v>182.4</v>
      </c>
      <c r="I601">
        <v>175.7</v>
      </c>
      <c r="J601">
        <v>100</v>
      </c>
      <c r="K601">
        <v>100</v>
      </c>
      <c r="L601" s="1" t="s">
        <v>1512</v>
      </c>
      <c r="M601" t="s">
        <v>1168</v>
      </c>
      <c r="N601">
        <v>3</v>
      </c>
    </row>
    <row r="602" spans="1:14" x14ac:dyDescent="0.25">
      <c r="A602" s="3" t="str">
        <f>HYPERLINK("http://www.ncbi.nlm.nih.gov/gene/55704","55704")</f>
        <v>55704</v>
      </c>
      <c r="B602" s="1" t="s">
        <v>1514</v>
      </c>
      <c r="C602" t="s">
        <v>1515</v>
      </c>
      <c r="D602">
        <v>106.8</v>
      </c>
      <c r="E602">
        <v>106.5</v>
      </c>
      <c r="F602">
        <v>96.4</v>
      </c>
      <c r="G602">
        <v>93.1</v>
      </c>
      <c r="H602">
        <v>120</v>
      </c>
      <c r="I602">
        <v>121.8</v>
      </c>
      <c r="J602">
        <v>97.5</v>
      </c>
      <c r="K602">
        <v>97.5</v>
      </c>
      <c r="L602" s="1" t="s">
        <v>1514</v>
      </c>
      <c r="M602" t="s">
        <v>228</v>
      </c>
      <c r="N602">
        <v>3</v>
      </c>
    </row>
    <row r="603" spans="1:14" x14ac:dyDescent="0.25">
      <c r="A603" s="3" t="str">
        <f>HYPERLINK("http://www.ncbi.nlm.nih.gov/gene/440193","440193")</f>
        <v>440193</v>
      </c>
      <c r="B603" s="1" t="s">
        <v>1516</v>
      </c>
      <c r="C603" t="s">
        <v>1517</v>
      </c>
      <c r="D603">
        <v>114.5</v>
      </c>
      <c r="E603">
        <v>111.2</v>
      </c>
      <c r="F603">
        <v>100</v>
      </c>
      <c r="G603">
        <v>99.3</v>
      </c>
      <c r="H603">
        <v>137.4</v>
      </c>
      <c r="I603">
        <v>140</v>
      </c>
      <c r="J603">
        <v>100</v>
      </c>
      <c r="K603">
        <v>100</v>
      </c>
      <c r="L603" s="1" t="s">
        <v>1516</v>
      </c>
      <c r="M603" t="s">
        <v>1518</v>
      </c>
      <c r="N603">
        <v>3</v>
      </c>
    </row>
    <row r="604" spans="1:14" x14ac:dyDescent="0.25">
      <c r="A604" s="3" t="str">
        <f>HYPERLINK("http://www.ncbi.nlm.nih.gov/gene/6347","6347")</f>
        <v>6347</v>
      </c>
      <c r="B604" s="1" t="s">
        <v>1519</v>
      </c>
      <c r="C604" t="s">
        <v>1520</v>
      </c>
      <c r="D604">
        <v>176.2</v>
      </c>
      <c r="E604">
        <v>181.5</v>
      </c>
      <c r="F604">
        <v>100</v>
      </c>
      <c r="G604">
        <v>100</v>
      </c>
      <c r="H604">
        <v>144</v>
      </c>
      <c r="I604">
        <v>147</v>
      </c>
      <c r="J604">
        <v>100</v>
      </c>
      <c r="K604">
        <v>100</v>
      </c>
      <c r="L604" s="1" t="s">
        <v>1519</v>
      </c>
      <c r="M604" t="s">
        <v>62</v>
      </c>
      <c r="N604">
        <v>2</v>
      </c>
    </row>
    <row r="605" spans="1:14" x14ac:dyDescent="0.25">
      <c r="A605" s="3" t="str">
        <f>HYPERLINK("http://www.ncbi.nlm.nih.gov/gene/83605","83605")</f>
        <v>83605</v>
      </c>
      <c r="B605" s="1" t="s">
        <v>1521</v>
      </c>
      <c r="C605" t="s">
        <v>1522</v>
      </c>
      <c r="D605">
        <v>141.1</v>
      </c>
      <c r="E605">
        <v>148.5</v>
      </c>
      <c r="F605">
        <v>98.7</v>
      </c>
      <c r="G605">
        <v>97.8</v>
      </c>
      <c r="H605">
        <v>131.9</v>
      </c>
      <c r="I605">
        <v>135.6</v>
      </c>
      <c r="J605">
        <v>100</v>
      </c>
      <c r="K605">
        <v>100</v>
      </c>
      <c r="L605" s="1" t="s">
        <v>1521</v>
      </c>
      <c r="M605" t="s">
        <v>285</v>
      </c>
      <c r="N605">
        <v>1</v>
      </c>
    </row>
    <row r="606" spans="1:14" x14ac:dyDescent="0.25">
      <c r="A606" s="3" t="str">
        <f>HYPERLINK("http://www.ncbi.nlm.nih.gov/gene/8838","8838")</f>
        <v>8838</v>
      </c>
      <c r="B606" s="1" t="s">
        <v>1523</v>
      </c>
      <c r="C606" t="s">
        <v>1524</v>
      </c>
      <c r="D606">
        <v>115.4</v>
      </c>
      <c r="E606">
        <v>119.3</v>
      </c>
      <c r="F606">
        <v>84.7</v>
      </c>
      <c r="G606">
        <v>84.6</v>
      </c>
      <c r="H606">
        <v>131.30000000000001</v>
      </c>
      <c r="I606">
        <v>136</v>
      </c>
      <c r="J606">
        <v>84.6</v>
      </c>
      <c r="K606">
        <v>84.6</v>
      </c>
      <c r="L606" s="1" t="s">
        <v>1523</v>
      </c>
      <c r="M606" t="s">
        <v>1168</v>
      </c>
      <c r="N606">
        <v>3</v>
      </c>
    </row>
    <row r="607" spans="1:14" x14ac:dyDescent="0.25">
      <c r="A607" s="3" t="str">
        <f>HYPERLINK("http://www.ncbi.nlm.nih.gov/gene/894","894")</f>
        <v>894</v>
      </c>
      <c r="B607" s="1" t="s">
        <v>1525</v>
      </c>
      <c r="C607" t="s">
        <v>1526</v>
      </c>
      <c r="D607">
        <v>132.4</v>
      </c>
      <c r="E607">
        <v>141.80000000000001</v>
      </c>
      <c r="F607">
        <v>100</v>
      </c>
      <c r="G607">
        <v>100</v>
      </c>
      <c r="H607">
        <v>141.80000000000001</v>
      </c>
      <c r="I607">
        <v>147</v>
      </c>
      <c r="J607">
        <v>100</v>
      </c>
      <c r="K607">
        <v>100</v>
      </c>
      <c r="L607" s="1" t="s">
        <v>1525</v>
      </c>
      <c r="M607" t="s">
        <v>189</v>
      </c>
      <c r="N607">
        <v>2</v>
      </c>
    </row>
    <row r="608" spans="1:14" x14ac:dyDescent="0.25">
      <c r="A608" s="3" t="str">
        <f>HYPERLINK("http://www.ncbi.nlm.nih.gov/gene/8812","8812")</f>
        <v>8812</v>
      </c>
      <c r="B608" s="1" t="s">
        <v>1527</v>
      </c>
      <c r="C608" t="s">
        <v>1528</v>
      </c>
      <c r="D608">
        <v>107.4</v>
      </c>
      <c r="E608">
        <v>106.9</v>
      </c>
      <c r="F608">
        <v>92.6</v>
      </c>
      <c r="G608">
        <v>89.8</v>
      </c>
      <c r="H608">
        <v>137.9</v>
      </c>
      <c r="I608">
        <v>140.80000000000001</v>
      </c>
      <c r="J608">
        <v>100</v>
      </c>
      <c r="K608">
        <v>99.8</v>
      </c>
      <c r="L608" s="1" t="s">
        <v>1527</v>
      </c>
      <c r="M608" t="s">
        <v>189</v>
      </c>
      <c r="N608">
        <v>2</v>
      </c>
    </row>
    <row r="609" spans="1:14" x14ac:dyDescent="0.25">
      <c r="A609" s="3" t="str">
        <f>HYPERLINK("http://www.ncbi.nlm.nih.gov/gene/10309","10309")</f>
        <v>10309</v>
      </c>
      <c r="B609" s="1" t="s">
        <v>1529</v>
      </c>
      <c r="C609" t="s">
        <v>1530</v>
      </c>
      <c r="D609">
        <v>91.8</v>
      </c>
      <c r="E609">
        <v>95.3</v>
      </c>
      <c r="F609">
        <v>100</v>
      </c>
      <c r="G609">
        <v>99.2</v>
      </c>
      <c r="H609">
        <v>151.69999999999999</v>
      </c>
      <c r="I609">
        <v>155.9</v>
      </c>
      <c r="J609">
        <v>100</v>
      </c>
      <c r="K609">
        <v>100</v>
      </c>
      <c r="L609" s="1" t="s">
        <v>1529</v>
      </c>
      <c r="M609" t="s">
        <v>1483</v>
      </c>
      <c r="N609">
        <v>3</v>
      </c>
    </row>
    <row r="610" spans="1:14" x14ac:dyDescent="0.25">
      <c r="A610" s="3" t="str">
        <f>HYPERLINK("http://www.ncbi.nlm.nih.gov/gene/92002","92002")</f>
        <v>92002</v>
      </c>
      <c r="B610" s="1" t="s">
        <v>1531</v>
      </c>
      <c r="C610" t="s">
        <v>1532</v>
      </c>
      <c r="D610">
        <v>53.5</v>
      </c>
      <c r="E610">
        <v>52.3</v>
      </c>
      <c r="F610">
        <v>83.1</v>
      </c>
      <c r="G610">
        <v>78.5</v>
      </c>
      <c r="H610">
        <v>106.9</v>
      </c>
      <c r="I610">
        <v>109.8</v>
      </c>
      <c r="J610">
        <v>98.9</v>
      </c>
      <c r="K610">
        <v>94.6</v>
      </c>
      <c r="L610" s="1" t="s">
        <v>1531</v>
      </c>
      <c r="M610" t="s">
        <v>1533</v>
      </c>
      <c r="N610">
        <v>4</v>
      </c>
    </row>
    <row r="611" spans="1:14" x14ac:dyDescent="0.25">
      <c r="A611" s="3" t="str">
        <f>HYPERLINK("http://www.ncbi.nlm.nih.gov/gene/1234","1234")</f>
        <v>1234</v>
      </c>
      <c r="B611" s="1" t="s">
        <v>1534</v>
      </c>
      <c r="C611" t="s">
        <v>1535</v>
      </c>
      <c r="D611">
        <v>197</v>
      </c>
      <c r="E611">
        <v>198.6</v>
      </c>
      <c r="F611">
        <v>100</v>
      </c>
      <c r="G611">
        <v>100</v>
      </c>
      <c r="H611">
        <v>160.9</v>
      </c>
      <c r="I611">
        <v>162.6</v>
      </c>
      <c r="J611">
        <v>100</v>
      </c>
      <c r="K611">
        <v>100</v>
      </c>
      <c r="L611" s="1" t="s">
        <v>1534</v>
      </c>
      <c r="M611" t="s">
        <v>1536</v>
      </c>
      <c r="N611">
        <v>2</v>
      </c>
    </row>
    <row r="612" spans="1:14" x14ac:dyDescent="0.25">
      <c r="A612" s="3" t="str">
        <f>HYPERLINK("http://www.ncbi.nlm.nih.gov/gene/10576","10576")</f>
        <v>10576</v>
      </c>
      <c r="B612" s="1" t="s">
        <v>1537</v>
      </c>
      <c r="C612" t="s">
        <v>1538</v>
      </c>
      <c r="D612">
        <v>166.8</v>
      </c>
      <c r="E612">
        <v>172.5</v>
      </c>
      <c r="F612">
        <v>100</v>
      </c>
      <c r="G612">
        <v>100</v>
      </c>
      <c r="H612">
        <v>122.1</v>
      </c>
      <c r="I612">
        <v>126.2</v>
      </c>
      <c r="J612">
        <v>100</v>
      </c>
      <c r="K612">
        <v>100</v>
      </c>
      <c r="L612" s="1" t="s">
        <v>1537</v>
      </c>
      <c r="M612" t="s">
        <v>817</v>
      </c>
      <c r="N612">
        <v>2</v>
      </c>
    </row>
    <row r="613" spans="1:14" x14ac:dyDescent="0.25">
      <c r="A613" s="3" t="str">
        <f>HYPERLINK("http://www.ncbi.nlm.nih.gov/gene/22948","22948")</f>
        <v>22948</v>
      </c>
      <c r="B613" s="1" t="s">
        <v>1539</v>
      </c>
      <c r="C613" t="s">
        <v>1540</v>
      </c>
      <c r="D613">
        <v>145</v>
      </c>
      <c r="E613">
        <v>146.19999999999999</v>
      </c>
      <c r="F613">
        <v>100</v>
      </c>
      <c r="G613">
        <v>99.7</v>
      </c>
      <c r="H613">
        <v>121.5</v>
      </c>
      <c r="I613">
        <v>125.1</v>
      </c>
      <c r="J613">
        <v>100</v>
      </c>
      <c r="K613">
        <v>100</v>
      </c>
      <c r="L613" s="1" t="s">
        <v>1539</v>
      </c>
      <c r="M613" t="s">
        <v>1541</v>
      </c>
      <c r="N613">
        <v>4</v>
      </c>
    </row>
    <row r="614" spans="1:14" x14ac:dyDescent="0.25">
      <c r="A614" s="3" t="str">
        <f>HYPERLINK("http://www.ncbi.nlm.nih.gov/gene/977","977")</f>
        <v>977</v>
      </c>
      <c r="B614" s="1" t="s">
        <v>1542</v>
      </c>
      <c r="C614" t="s">
        <v>1543</v>
      </c>
      <c r="D614">
        <v>141.6</v>
      </c>
      <c r="E614">
        <v>141.6</v>
      </c>
      <c r="F614">
        <v>100</v>
      </c>
      <c r="G614">
        <v>100</v>
      </c>
      <c r="H614">
        <v>140.69999999999999</v>
      </c>
      <c r="I614">
        <v>143.69999999999999</v>
      </c>
      <c r="J614">
        <v>100</v>
      </c>
      <c r="K614">
        <v>100</v>
      </c>
      <c r="L614" s="1" t="s">
        <v>1542</v>
      </c>
      <c r="M614" t="s">
        <v>1544</v>
      </c>
      <c r="N614">
        <v>4</v>
      </c>
    </row>
    <row r="615" spans="1:14" x14ac:dyDescent="0.25">
      <c r="A615" s="3" t="str">
        <f>HYPERLINK("http://www.ncbi.nlm.nih.gov/gene/8763","8763")</f>
        <v>8763</v>
      </c>
      <c r="B615" s="1" t="s">
        <v>1545</v>
      </c>
      <c r="C615" t="s">
        <v>1546</v>
      </c>
      <c r="D615">
        <v>127.8</v>
      </c>
      <c r="E615">
        <v>132.4</v>
      </c>
      <c r="F615">
        <v>99.1</v>
      </c>
      <c r="G615">
        <v>94.8</v>
      </c>
      <c r="H615">
        <v>132.1</v>
      </c>
      <c r="I615">
        <v>136.30000000000001</v>
      </c>
      <c r="J615">
        <v>100</v>
      </c>
      <c r="K615">
        <v>100</v>
      </c>
      <c r="L615" s="1" t="s">
        <v>1545</v>
      </c>
      <c r="M615" t="s">
        <v>76</v>
      </c>
      <c r="N615">
        <v>2</v>
      </c>
    </row>
    <row r="616" spans="1:14" x14ac:dyDescent="0.25">
      <c r="A616" s="3" t="str">
        <f>HYPERLINK("http://www.ncbi.nlm.nih.gov/gene/930","930")</f>
        <v>930</v>
      </c>
      <c r="B616" s="1" t="s">
        <v>1547</v>
      </c>
      <c r="C616" t="s">
        <v>1548</v>
      </c>
      <c r="D616">
        <v>124.7</v>
      </c>
      <c r="E616">
        <v>127.3</v>
      </c>
      <c r="F616">
        <v>100</v>
      </c>
      <c r="G616">
        <v>100</v>
      </c>
      <c r="H616">
        <v>132.80000000000001</v>
      </c>
      <c r="I616">
        <v>136.30000000000001</v>
      </c>
      <c r="J616">
        <v>100</v>
      </c>
      <c r="K616">
        <v>100</v>
      </c>
      <c r="L616" s="1" t="s">
        <v>1547</v>
      </c>
      <c r="M616" t="s">
        <v>1097</v>
      </c>
      <c r="N616">
        <v>3</v>
      </c>
    </row>
    <row r="617" spans="1:14" x14ac:dyDescent="0.25">
      <c r="A617" s="3" t="str">
        <f>HYPERLINK("http://www.ncbi.nlm.nih.gov/gene/919","919")</f>
        <v>919</v>
      </c>
      <c r="B617" s="1" t="s">
        <v>1549</v>
      </c>
      <c r="C617" t="s">
        <v>1550</v>
      </c>
      <c r="D617">
        <v>118.1</v>
      </c>
      <c r="E617">
        <v>119.5</v>
      </c>
      <c r="F617">
        <v>100</v>
      </c>
      <c r="G617">
        <v>100</v>
      </c>
      <c r="H617">
        <v>142.1</v>
      </c>
      <c r="I617">
        <v>144.1</v>
      </c>
      <c r="J617">
        <v>100</v>
      </c>
      <c r="K617">
        <v>100</v>
      </c>
      <c r="L617" s="1" t="s">
        <v>1549</v>
      </c>
      <c r="M617" t="s">
        <v>1551</v>
      </c>
      <c r="N617">
        <v>4</v>
      </c>
    </row>
    <row r="618" spans="1:14" x14ac:dyDescent="0.25">
      <c r="A618" s="3" t="str">
        <f>HYPERLINK("http://www.ncbi.nlm.nih.gov/gene/939","939")</f>
        <v>939</v>
      </c>
      <c r="B618" s="1" t="s">
        <v>1552</v>
      </c>
      <c r="C618" t="s">
        <v>1553</v>
      </c>
      <c r="D618">
        <v>99.7</v>
      </c>
      <c r="E618">
        <v>103.3</v>
      </c>
      <c r="F618">
        <v>99.9</v>
      </c>
      <c r="G618">
        <v>96.9</v>
      </c>
      <c r="H618">
        <v>134.30000000000001</v>
      </c>
      <c r="I618">
        <v>137.5</v>
      </c>
      <c r="J618">
        <v>100</v>
      </c>
      <c r="K618">
        <v>100</v>
      </c>
      <c r="L618" s="1" t="s">
        <v>1552</v>
      </c>
      <c r="M618" t="s">
        <v>1554</v>
      </c>
      <c r="N618">
        <v>4</v>
      </c>
    </row>
    <row r="619" spans="1:14" x14ac:dyDescent="0.25">
      <c r="A619" s="3" t="str">
        <f>HYPERLINK("http://www.ncbi.nlm.nih.gov/gene/23607","23607")</f>
        <v>23607</v>
      </c>
      <c r="B619" s="1" t="s">
        <v>1555</v>
      </c>
      <c r="C619" t="s">
        <v>1556</v>
      </c>
      <c r="D619">
        <v>137</v>
      </c>
      <c r="E619">
        <v>141.5</v>
      </c>
      <c r="F619">
        <v>99.9</v>
      </c>
      <c r="G619">
        <v>98.8</v>
      </c>
      <c r="H619">
        <v>124.8</v>
      </c>
      <c r="I619">
        <v>128.4</v>
      </c>
      <c r="J619">
        <v>100</v>
      </c>
      <c r="K619">
        <v>100</v>
      </c>
      <c r="L619" s="1" t="s">
        <v>1555</v>
      </c>
      <c r="M619" t="s">
        <v>1557</v>
      </c>
      <c r="N619">
        <v>3</v>
      </c>
    </row>
    <row r="620" spans="1:14" x14ac:dyDescent="0.25">
      <c r="A620" s="3" t="str">
        <f>HYPERLINK("http://www.ncbi.nlm.nih.gov/gene/51293","51293")</f>
        <v>51293</v>
      </c>
      <c r="B620" s="1" t="s">
        <v>1558</v>
      </c>
      <c r="C620" t="s">
        <v>1559</v>
      </c>
      <c r="D620">
        <v>104.2</v>
      </c>
      <c r="E620">
        <v>107.7</v>
      </c>
      <c r="F620">
        <v>100</v>
      </c>
      <c r="G620">
        <v>99.8</v>
      </c>
      <c r="H620">
        <v>141.69999999999999</v>
      </c>
      <c r="I620">
        <v>146</v>
      </c>
      <c r="J620">
        <v>100</v>
      </c>
      <c r="K620">
        <v>100</v>
      </c>
      <c r="L620" s="1" t="s">
        <v>1558</v>
      </c>
      <c r="M620" t="s">
        <v>1560</v>
      </c>
      <c r="N620">
        <v>3</v>
      </c>
    </row>
    <row r="621" spans="1:14" x14ac:dyDescent="0.25">
      <c r="A621" s="3" t="str">
        <f>HYPERLINK("http://www.ncbi.nlm.nih.gov/gene/948","948")</f>
        <v>948</v>
      </c>
      <c r="B621" s="1" t="s">
        <v>1561</v>
      </c>
      <c r="C621" t="s">
        <v>1562</v>
      </c>
      <c r="D621">
        <v>140.6</v>
      </c>
      <c r="E621">
        <v>147.19999999999999</v>
      </c>
      <c r="F621">
        <v>99.7</v>
      </c>
      <c r="G621">
        <v>98.7</v>
      </c>
      <c r="H621">
        <v>125.9</v>
      </c>
      <c r="I621">
        <v>129.5</v>
      </c>
      <c r="J621">
        <v>100</v>
      </c>
      <c r="K621">
        <v>100</v>
      </c>
      <c r="L621" s="1" t="s">
        <v>1561</v>
      </c>
      <c r="M621" t="s">
        <v>1563</v>
      </c>
      <c r="N621">
        <v>2</v>
      </c>
    </row>
    <row r="622" spans="1:14" x14ac:dyDescent="0.25">
      <c r="A622" s="3" t="str">
        <f>HYPERLINK("http://www.ncbi.nlm.nih.gov/gene/915","915")</f>
        <v>915</v>
      </c>
      <c r="B622" s="1" t="s">
        <v>1564</v>
      </c>
      <c r="C622" t="s">
        <v>1565</v>
      </c>
      <c r="D622">
        <v>168.5</v>
      </c>
      <c r="E622">
        <v>176.6</v>
      </c>
      <c r="F622">
        <v>100</v>
      </c>
      <c r="G622">
        <v>100</v>
      </c>
      <c r="H622">
        <v>136.1</v>
      </c>
      <c r="I622">
        <v>141.1</v>
      </c>
      <c r="J622">
        <v>100</v>
      </c>
      <c r="K622">
        <v>100</v>
      </c>
      <c r="L622" s="1" t="s">
        <v>1564</v>
      </c>
      <c r="M622" t="s">
        <v>1551</v>
      </c>
      <c r="N622">
        <v>4</v>
      </c>
    </row>
    <row r="623" spans="1:14" x14ac:dyDescent="0.25">
      <c r="A623" s="3" t="str">
        <f>HYPERLINK("http://www.ncbi.nlm.nih.gov/gene/916","916")</f>
        <v>916</v>
      </c>
      <c r="B623" s="1" t="s">
        <v>1566</v>
      </c>
      <c r="C623" t="s">
        <v>1567</v>
      </c>
      <c r="D623">
        <v>144.80000000000001</v>
      </c>
      <c r="E623">
        <v>151.69999999999999</v>
      </c>
      <c r="F623">
        <v>100</v>
      </c>
      <c r="G623">
        <v>99.5</v>
      </c>
      <c r="H623">
        <v>131.19999999999999</v>
      </c>
      <c r="I623">
        <v>134.5</v>
      </c>
      <c r="J623">
        <v>100</v>
      </c>
      <c r="K623">
        <v>100</v>
      </c>
      <c r="L623" s="1" t="s">
        <v>1566</v>
      </c>
      <c r="M623" t="s">
        <v>1551</v>
      </c>
      <c r="N623">
        <v>4</v>
      </c>
    </row>
    <row r="624" spans="1:14" x14ac:dyDescent="0.25">
      <c r="A624" s="3" t="str">
        <f>HYPERLINK("http://www.ncbi.nlm.nih.gov/gene/917","917")</f>
        <v>917</v>
      </c>
      <c r="B624" s="1" t="s">
        <v>1568</v>
      </c>
      <c r="C624" t="s">
        <v>1569</v>
      </c>
      <c r="D624">
        <v>162</v>
      </c>
      <c r="E624">
        <v>169.4</v>
      </c>
      <c r="F624">
        <v>100</v>
      </c>
      <c r="G624">
        <v>100</v>
      </c>
      <c r="H624">
        <v>127.7</v>
      </c>
      <c r="I624">
        <v>132.5</v>
      </c>
      <c r="J624">
        <v>100</v>
      </c>
      <c r="K624">
        <v>100</v>
      </c>
      <c r="L624" s="1" t="s">
        <v>1568</v>
      </c>
      <c r="M624" t="s">
        <v>1551</v>
      </c>
      <c r="N624">
        <v>4</v>
      </c>
    </row>
    <row r="625" spans="1:14" x14ac:dyDescent="0.25">
      <c r="A625" s="3" t="str">
        <f>HYPERLINK("http://www.ncbi.nlm.nih.gov/gene/920","920")</f>
        <v>920</v>
      </c>
      <c r="B625" s="1" t="s">
        <v>1570</v>
      </c>
      <c r="C625" t="s">
        <v>1571</v>
      </c>
      <c r="D625">
        <v>153.9</v>
      </c>
      <c r="E625">
        <v>154.69999999999999</v>
      </c>
      <c r="F625">
        <v>100</v>
      </c>
      <c r="G625">
        <v>99.9</v>
      </c>
      <c r="H625">
        <v>119.8</v>
      </c>
      <c r="I625">
        <v>123.6</v>
      </c>
      <c r="J625">
        <v>100</v>
      </c>
      <c r="K625">
        <v>100</v>
      </c>
      <c r="L625" s="1" t="s">
        <v>1570</v>
      </c>
      <c r="M625" t="s">
        <v>22</v>
      </c>
      <c r="N625">
        <v>1</v>
      </c>
    </row>
    <row r="626" spans="1:14" x14ac:dyDescent="0.25">
      <c r="A626" s="3" t="str">
        <f>HYPERLINK("http://www.ncbi.nlm.nih.gov/gene/958","958")</f>
        <v>958</v>
      </c>
      <c r="B626" s="1" t="s">
        <v>1572</v>
      </c>
      <c r="C626" t="s">
        <v>1573</v>
      </c>
      <c r="D626">
        <v>176.8</v>
      </c>
      <c r="E626">
        <v>181.5</v>
      </c>
      <c r="F626">
        <v>100</v>
      </c>
      <c r="G626">
        <v>100</v>
      </c>
      <c r="H626">
        <v>148.69999999999999</v>
      </c>
      <c r="I626">
        <v>151.6</v>
      </c>
      <c r="J626">
        <v>100</v>
      </c>
      <c r="K626">
        <v>100</v>
      </c>
      <c r="L626" s="1" t="s">
        <v>1572</v>
      </c>
      <c r="M626" t="s">
        <v>1097</v>
      </c>
      <c r="N626">
        <v>3</v>
      </c>
    </row>
    <row r="627" spans="1:14" x14ac:dyDescent="0.25">
      <c r="A627" s="3" t="str">
        <f>HYPERLINK("http://www.ncbi.nlm.nih.gov/gene/959","959")</f>
        <v>959</v>
      </c>
      <c r="B627" s="1" t="s">
        <v>1574</v>
      </c>
      <c r="C627" t="s">
        <v>1575</v>
      </c>
      <c r="D627">
        <v>124.1</v>
      </c>
      <c r="E627">
        <v>132</v>
      </c>
      <c r="F627">
        <v>97.3</v>
      </c>
      <c r="G627">
        <v>88.1</v>
      </c>
      <c r="H627">
        <v>131.6</v>
      </c>
      <c r="I627">
        <v>134.30000000000001</v>
      </c>
      <c r="J627">
        <v>100</v>
      </c>
      <c r="K627">
        <v>100</v>
      </c>
      <c r="L627" s="1" t="s">
        <v>1574</v>
      </c>
      <c r="M627" t="s">
        <v>1576</v>
      </c>
      <c r="N627">
        <v>2</v>
      </c>
    </row>
    <row r="628" spans="1:14" x14ac:dyDescent="0.25">
      <c r="A628" s="3" t="str">
        <f>HYPERLINK("http://www.ncbi.nlm.nih.gov/gene/4179","4179")</f>
        <v>4179</v>
      </c>
      <c r="B628" s="1" t="s">
        <v>1577</v>
      </c>
      <c r="C628" t="s">
        <v>1578</v>
      </c>
      <c r="D628">
        <v>141.1</v>
      </c>
      <c r="E628">
        <v>151.5</v>
      </c>
      <c r="F628">
        <v>99.9</v>
      </c>
      <c r="G628">
        <v>99.4</v>
      </c>
      <c r="H628">
        <v>124.3</v>
      </c>
      <c r="I628">
        <v>127.2</v>
      </c>
      <c r="J628">
        <v>100</v>
      </c>
      <c r="K628">
        <v>100</v>
      </c>
      <c r="L628" s="1" t="s">
        <v>1577</v>
      </c>
      <c r="M628" t="s">
        <v>1579</v>
      </c>
      <c r="N628">
        <v>4</v>
      </c>
    </row>
    <row r="629" spans="1:14" x14ac:dyDescent="0.25">
      <c r="A629" s="3" t="str">
        <f>HYPERLINK("http://www.ncbi.nlm.nih.gov/gene/1604","1604")</f>
        <v>1604</v>
      </c>
      <c r="B629" s="1" t="s">
        <v>1580</v>
      </c>
      <c r="C629" t="s">
        <v>1581</v>
      </c>
      <c r="D629">
        <v>152.30000000000001</v>
      </c>
      <c r="E629">
        <v>152.1</v>
      </c>
      <c r="F629">
        <v>92.9</v>
      </c>
      <c r="G629">
        <v>85.4</v>
      </c>
      <c r="H629">
        <v>113.6</v>
      </c>
      <c r="I629">
        <v>113.8</v>
      </c>
      <c r="J629">
        <v>94.1</v>
      </c>
      <c r="K629">
        <v>92</v>
      </c>
      <c r="L629" s="1" t="s">
        <v>1580</v>
      </c>
      <c r="M629" t="s">
        <v>1097</v>
      </c>
      <c r="N629">
        <v>3</v>
      </c>
    </row>
    <row r="630" spans="1:14" x14ac:dyDescent="0.25">
      <c r="A630" s="3" t="str">
        <f>HYPERLINK("http://www.ncbi.nlm.nih.gov/gene/966","966")</f>
        <v>966</v>
      </c>
      <c r="B630" s="1" t="s">
        <v>1582</v>
      </c>
      <c r="C630" t="s">
        <v>1583</v>
      </c>
      <c r="D630">
        <v>172.4</v>
      </c>
      <c r="E630">
        <v>175.5</v>
      </c>
      <c r="F630">
        <v>80</v>
      </c>
      <c r="G630">
        <v>71.599999999999994</v>
      </c>
      <c r="H630">
        <v>99.2</v>
      </c>
      <c r="I630">
        <v>102.3</v>
      </c>
      <c r="J630">
        <v>64.5</v>
      </c>
      <c r="K630">
        <v>64.5</v>
      </c>
      <c r="L630" s="1" t="s">
        <v>1582</v>
      </c>
      <c r="M630" t="s">
        <v>1097</v>
      </c>
      <c r="N630">
        <v>3</v>
      </c>
    </row>
    <row r="631" spans="1:14" x14ac:dyDescent="0.25">
      <c r="A631" s="3" t="str">
        <f>HYPERLINK("http://www.ncbi.nlm.nih.gov/gene/970","970")</f>
        <v>970</v>
      </c>
      <c r="B631" s="1" t="s">
        <v>1584</v>
      </c>
      <c r="C631" t="s">
        <v>1585</v>
      </c>
      <c r="D631">
        <v>118.4</v>
      </c>
      <c r="E631">
        <v>126</v>
      </c>
      <c r="F631">
        <v>99.8</v>
      </c>
      <c r="G631">
        <v>97.7</v>
      </c>
      <c r="H631">
        <v>154.1</v>
      </c>
      <c r="I631">
        <v>157.4</v>
      </c>
      <c r="J631">
        <v>100</v>
      </c>
      <c r="K631">
        <v>100</v>
      </c>
      <c r="L631" s="1" t="s">
        <v>1584</v>
      </c>
      <c r="M631" t="s">
        <v>1586</v>
      </c>
      <c r="N631">
        <v>3</v>
      </c>
    </row>
    <row r="632" spans="1:14" x14ac:dyDescent="0.25">
      <c r="A632" s="3" t="str">
        <f>HYPERLINK("http://www.ncbi.nlm.nih.gov/gene/973","973")</f>
        <v>973</v>
      </c>
      <c r="B632" s="1" t="s">
        <v>1587</v>
      </c>
      <c r="C632" t="s">
        <v>1588</v>
      </c>
      <c r="D632">
        <v>150.19999999999999</v>
      </c>
      <c r="E632">
        <v>158.5</v>
      </c>
      <c r="F632">
        <v>100</v>
      </c>
      <c r="G632">
        <v>100</v>
      </c>
      <c r="H632">
        <v>146</v>
      </c>
      <c r="I632">
        <v>150.80000000000001</v>
      </c>
      <c r="J632">
        <v>100</v>
      </c>
      <c r="K632">
        <v>100</v>
      </c>
      <c r="L632" s="1" t="s">
        <v>1587</v>
      </c>
      <c r="M632" t="s">
        <v>1097</v>
      </c>
      <c r="N632">
        <v>3</v>
      </c>
    </row>
    <row r="633" spans="1:14" x14ac:dyDescent="0.25">
      <c r="A633" s="3" t="str">
        <f>HYPERLINK("http://www.ncbi.nlm.nih.gov/gene/974","974")</f>
        <v>974</v>
      </c>
      <c r="B633" s="1" t="s">
        <v>1589</v>
      </c>
      <c r="C633" t="s">
        <v>1590</v>
      </c>
      <c r="D633">
        <v>194.7</v>
      </c>
      <c r="E633">
        <v>202.1</v>
      </c>
      <c r="F633">
        <v>100</v>
      </c>
      <c r="G633">
        <v>100</v>
      </c>
      <c r="H633">
        <v>139.6</v>
      </c>
      <c r="I633">
        <v>143</v>
      </c>
      <c r="J633">
        <v>100</v>
      </c>
      <c r="K633">
        <v>100</v>
      </c>
      <c r="L633" s="1" t="s">
        <v>1589</v>
      </c>
      <c r="M633" t="s">
        <v>1097</v>
      </c>
      <c r="N633">
        <v>3</v>
      </c>
    </row>
    <row r="634" spans="1:14" x14ac:dyDescent="0.25">
      <c r="A634" s="3" t="str">
        <f>HYPERLINK("http://www.ncbi.nlm.nih.gov/gene/975","975")</f>
        <v>975</v>
      </c>
      <c r="B634" s="1" t="s">
        <v>1591</v>
      </c>
      <c r="C634" t="s">
        <v>1592</v>
      </c>
      <c r="D634">
        <v>140</v>
      </c>
      <c r="E634">
        <v>145.19999999999999</v>
      </c>
      <c r="F634">
        <v>100</v>
      </c>
      <c r="G634">
        <v>99.9</v>
      </c>
      <c r="H634">
        <v>145.6</v>
      </c>
      <c r="I634">
        <v>148.80000000000001</v>
      </c>
      <c r="J634">
        <v>100</v>
      </c>
      <c r="K634">
        <v>100</v>
      </c>
      <c r="L634" s="1" t="s">
        <v>1591</v>
      </c>
      <c r="M634" t="s">
        <v>1097</v>
      </c>
      <c r="N634">
        <v>3</v>
      </c>
    </row>
    <row r="635" spans="1:14" x14ac:dyDescent="0.25">
      <c r="A635" s="3" t="str">
        <f>HYPERLINK("http://www.ncbi.nlm.nih.gov/gene/925","925")</f>
        <v>925</v>
      </c>
      <c r="B635" s="1" t="s">
        <v>1593</v>
      </c>
      <c r="C635" t="s">
        <v>1594</v>
      </c>
      <c r="D635">
        <v>145.30000000000001</v>
      </c>
      <c r="E635">
        <v>146.6</v>
      </c>
      <c r="F635">
        <v>100</v>
      </c>
      <c r="G635">
        <v>99.8</v>
      </c>
      <c r="H635">
        <v>139.30000000000001</v>
      </c>
      <c r="I635">
        <v>141.69999999999999</v>
      </c>
      <c r="J635">
        <v>100</v>
      </c>
      <c r="K635">
        <v>100</v>
      </c>
      <c r="L635" s="1" t="s">
        <v>1593</v>
      </c>
      <c r="M635" t="s">
        <v>1551</v>
      </c>
      <c r="N635">
        <v>4</v>
      </c>
    </row>
    <row r="636" spans="1:14" x14ac:dyDescent="0.25">
      <c r="A636" s="3" t="str">
        <f>HYPERLINK("http://www.ncbi.nlm.nih.gov/gene/10225","10225")</f>
        <v>10225</v>
      </c>
      <c r="B636" s="1" t="s">
        <v>1595</v>
      </c>
      <c r="C636" t="s">
        <v>1596</v>
      </c>
      <c r="D636">
        <v>176.8</v>
      </c>
      <c r="E636">
        <v>176.7</v>
      </c>
      <c r="F636">
        <v>99.9</v>
      </c>
      <c r="G636">
        <v>99.7</v>
      </c>
      <c r="H636">
        <v>133.6</v>
      </c>
      <c r="I636">
        <v>137.30000000000001</v>
      </c>
      <c r="J636">
        <v>100</v>
      </c>
      <c r="K636">
        <v>100</v>
      </c>
      <c r="L636" s="1" t="s">
        <v>1595</v>
      </c>
      <c r="M636" t="s">
        <v>285</v>
      </c>
      <c r="N636">
        <v>1</v>
      </c>
    </row>
    <row r="637" spans="1:14" x14ac:dyDescent="0.25">
      <c r="A637" s="3" t="str">
        <f>HYPERLINK("http://www.ncbi.nlm.nih.gov/gene/146059","146059")</f>
        <v>146059</v>
      </c>
      <c r="B637" s="1" t="s">
        <v>1597</v>
      </c>
      <c r="C637" t="s">
        <v>1598</v>
      </c>
      <c r="D637">
        <v>120.2</v>
      </c>
      <c r="E637">
        <v>120.4</v>
      </c>
      <c r="F637">
        <v>100</v>
      </c>
      <c r="G637">
        <v>99.6</v>
      </c>
      <c r="H637">
        <v>128.5</v>
      </c>
      <c r="I637">
        <v>131</v>
      </c>
      <c r="J637">
        <v>100</v>
      </c>
      <c r="K637">
        <v>100</v>
      </c>
      <c r="L637" s="1" t="s">
        <v>1597</v>
      </c>
      <c r="M637" t="s">
        <v>1599</v>
      </c>
      <c r="N637">
        <v>4</v>
      </c>
    </row>
    <row r="638" spans="1:14" x14ac:dyDescent="0.25">
      <c r="A638" s="3" t="str">
        <f>HYPERLINK("http://www.ncbi.nlm.nih.gov/gene/8556","8556")</f>
        <v>8556</v>
      </c>
      <c r="B638" s="1" t="s">
        <v>1600</v>
      </c>
      <c r="C638" t="s">
        <v>1601</v>
      </c>
      <c r="D638">
        <v>179.1</v>
      </c>
      <c r="E638">
        <v>187.1</v>
      </c>
      <c r="F638">
        <v>100</v>
      </c>
      <c r="G638">
        <v>99</v>
      </c>
      <c r="H638">
        <v>128.5</v>
      </c>
      <c r="I638">
        <v>131</v>
      </c>
      <c r="J638">
        <v>100</v>
      </c>
      <c r="K638">
        <v>100</v>
      </c>
      <c r="L638" s="1" t="s">
        <v>1600</v>
      </c>
      <c r="M638" t="s">
        <v>269</v>
      </c>
      <c r="N638">
        <v>3</v>
      </c>
    </row>
    <row r="639" spans="1:14" x14ac:dyDescent="0.25">
      <c r="A639" s="3" t="str">
        <f>HYPERLINK("http://www.ncbi.nlm.nih.gov/gene/998","998")</f>
        <v>998</v>
      </c>
      <c r="B639" s="1" t="s">
        <v>1602</v>
      </c>
      <c r="C639" t="s">
        <v>1603</v>
      </c>
      <c r="D639">
        <v>125.3</v>
      </c>
      <c r="E639">
        <v>121.8</v>
      </c>
      <c r="F639">
        <v>97.9</v>
      </c>
      <c r="G639">
        <v>90.9</v>
      </c>
      <c r="H639">
        <v>114.6</v>
      </c>
      <c r="I639">
        <v>118.6</v>
      </c>
      <c r="J639">
        <v>100</v>
      </c>
      <c r="K639">
        <v>100</v>
      </c>
      <c r="L639" s="1" t="s">
        <v>1602</v>
      </c>
      <c r="M639" t="s">
        <v>1604</v>
      </c>
      <c r="N639">
        <v>6</v>
      </c>
    </row>
    <row r="640" spans="1:14" x14ac:dyDescent="0.25">
      <c r="A640" s="3" t="str">
        <f>HYPERLINK("http://www.ncbi.nlm.nih.gov/gene/9578","9578")</f>
        <v>9578</v>
      </c>
      <c r="B640" s="1" t="s">
        <v>1605</v>
      </c>
      <c r="C640" t="s">
        <v>1606</v>
      </c>
      <c r="D640">
        <v>151.69999999999999</v>
      </c>
      <c r="E640">
        <v>155.6</v>
      </c>
      <c r="F640">
        <v>100</v>
      </c>
      <c r="G640">
        <v>99.3</v>
      </c>
      <c r="H640">
        <v>137.5</v>
      </c>
      <c r="I640">
        <v>140.19999999999999</v>
      </c>
      <c r="J640">
        <v>100</v>
      </c>
      <c r="K640">
        <v>100</v>
      </c>
      <c r="L640" s="1" t="s">
        <v>1605</v>
      </c>
      <c r="M640" t="s">
        <v>189</v>
      </c>
      <c r="N640">
        <v>2</v>
      </c>
    </row>
    <row r="641" spans="1:14" x14ac:dyDescent="0.25">
      <c r="A641" s="3" t="str">
        <f>HYPERLINK("http://www.ncbi.nlm.nih.gov/gene/8318","8318")</f>
        <v>8318</v>
      </c>
      <c r="B641" s="1" t="s">
        <v>1607</v>
      </c>
      <c r="C641" t="s">
        <v>1608</v>
      </c>
      <c r="D641">
        <v>156.6</v>
      </c>
      <c r="E641">
        <v>162.6</v>
      </c>
      <c r="F641">
        <v>99.8</v>
      </c>
      <c r="G641">
        <v>98.5</v>
      </c>
      <c r="H641">
        <v>142.80000000000001</v>
      </c>
      <c r="I641">
        <v>145.80000000000001</v>
      </c>
      <c r="J641">
        <v>100</v>
      </c>
      <c r="K641">
        <v>100</v>
      </c>
      <c r="L641" s="1" t="s">
        <v>1607</v>
      </c>
      <c r="M641" t="s">
        <v>1609</v>
      </c>
      <c r="N641">
        <v>5</v>
      </c>
    </row>
    <row r="642" spans="1:14" x14ac:dyDescent="0.25">
      <c r="A642" s="3" t="str">
        <f>HYPERLINK("http://www.ncbi.nlm.nih.gov/gene/990","990")</f>
        <v>990</v>
      </c>
      <c r="B642" s="1" t="s">
        <v>1610</v>
      </c>
      <c r="C642" t="s">
        <v>1611</v>
      </c>
      <c r="D642">
        <v>172.9</v>
      </c>
      <c r="E642">
        <v>172.5</v>
      </c>
      <c r="F642">
        <v>100</v>
      </c>
      <c r="G642">
        <v>100</v>
      </c>
      <c r="H642">
        <v>121.3</v>
      </c>
      <c r="I642">
        <v>124.4</v>
      </c>
      <c r="J642">
        <v>100</v>
      </c>
      <c r="K642">
        <v>100</v>
      </c>
      <c r="L642" s="1" t="s">
        <v>1610</v>
      </c>
      <c r="M642" t="s">
        <v>656</v>
      </c>
      <c r="N642">
        <v>4</v>
      </c>
    </row>
    <row r="643" spans="1:14" x14ac:dyDescent="0.25">
      <c r="A643" s="3" t="str">
        <f>HYPERLINK("http://www.ncbi.nlm.nih.gov/gene/79577","79577")</f>
        <v>79577</v>
      </c>
      <c r="B643" s="1" t="s">
        <v>1612</v>
      </c>
      <c r="C643" t="s">
        <v>1613</v>
      </c>
      <c r="D643">
        <v>133.5</v>
      </c>
      <c r="E643">
        <v>136.4</v>
      </c>
      <c r="F643">
        <v>100</v>
      </c>
      <c r="G643">
        <v>99.4</v>
      </c>
      <c r="H643">
        <v>116.8</v>
      </c>
      <c r="I643">
        <v>119.8</v>
      </c>
      <c r="J643">
        <v>100</v>
      </c>
      <c r="K643">
        <v>100</v>
      </c>
      <c r="L643" s="1" t="s">
        <v>1612</v>
      </c>
      <c r="M643" t="s">
        <v>1614</v>
      </c>
      <c r="N643">
        <v>3</v>
      </c>
    </row>
    <row r="644" spans="1:14" x14ac:dyDescent="0.25">
      <c r="A644" s="3" t="str">
        <f>HYPERLINK("http://www.ncbi.nlm.nih.gov/gene/83879","83879")</f>
        <v>83879</v>
      </c>
      <c r="B644" s="1" t="s">
        <v>1615</v>
      </c>
      <c r="C644" t="s">
        <v>1616</v>
      </c>
      <c r="D644">
        <v>130.1</v>
      </c>
      <c r="E644">
        <v>138</v>
      </c>
      <c r="F644">
        <v>100</v>
      </c>
      <c r="G644">
        <v>99.6</v>
      </c>
      <c r="H644">
        <v>119.1</v>
      </c>
      <c r="I644">
        <v>123.5</v>
      </c>
      <c r="J644">
        <v>100</v>
      </c>
      <c r="K644">
        <v>100</v>
      </c>
      <c r="L644" s="1" t="s">
        <v>1615</v>
      </c>
      <c r="M644" t="s">
        <v>1097</v>
      </c>
      <c r="N644">
        <v>3</v>
      </c>
    </row>
    <row r="645" spans="1:14" x14ac:dyDescent="0.25">
      <c r="A645" s="3" t="str">
        <f>HYPERLINK("http://www.ncbi.nlm.nih.gov/gene/999","999")</f>
        <v>999</v>
      </c>
      <c r="B645" s="1" t="s">
        <v>1617</v>
      </c>
      <c r="C645" t="s">
        <v>1618</v>
      </c>
      <c r="D645">
        <v>121.5</v>
      </c>
      <c r="E645">
        <v>126.7</v>
      </c>
      <c r="F645">
        <v>99.2</v>
      </c>
      <c r="G645">
        <v>99.1</v>
      </c>
      <c r="H645">
        <v>133.80000000000001</v>
      </c>
      <c r="I645">
        <v>138</v>
      </c>
      <c r="J645">
        <v>96.1</v>
      </c>
      <c r="K645">
        <v>96</v>
      </c>
      <c r="L645" s="1" t="s">
        <v>1617</v>
      </c>
      <c r="M645" t="s">
        <v>1619</v>
      </c>
      <c r="N645">
        <v>4</v>
      </c>
    </row>
    <row r="646" spans="1:14" x14ac:dyDescent="0.25">
      <c r="A646" s="3" t="str">
        <f>HYPERLINK("http://www.ncbi.nlm.nih.gov/gene/1009","1009")</f>
        <v>1009</v>
      </c>
      <c r="B646" s="1" t="s">
        <v>1620</v>
      </c>
      <c r="C646" t="s">
        <v>1621</v>
      </c>
      <c r="D646">
        <v>147</v>
      </c>
      <c r="E646">
        <v>153.4</v>
      </c>
      <c r="F646">
        <v>100</v>
      </c>
      <c r="G646">
        <v>100</v>
      </c>
      <c r="H646">
        <v>155.1</v>
      </c>
      <c r="I646">
        <v>159.69999999999999</v>
      </c>
      <c r="J646">
        <v>100</v>
      </c>
      <c r="K646">
        <v>100</v>
      </c>
      <c r="L646" s="1" t="s">
        <v>1620</v>
      </c>
      <c r="M646" t="s">
        <v>228</v>
      </c>
      <c r="N646">
        <v>3</v>
      </c>
    </row>
    <row r="647" spans="1:14" x14ac:dyDescent="0.25">
      <c r="A647" s="3" t="str">
        <f>HYPERLINK("http://www.ncbi.nlm.nih.gov/gene/1013","1013")</f>
        <v>1013</v>
      </c>
      <c r="B647" s="1" t="s">
        <v>1622</v>
      </c>
      <c r="C647" t="s">
        <v>1623</v>
      </c>
      <c r="D647">
        <v>138</v>
      </c>
      <c r="E647">
        <v>146.80000000000001</v>
      </c>
      <c r="F647">
        <v>99.9</v>
      </c>
      <c r="G647">
        <v>98.7</v>
      </c>
      <c r="H647">
        <v>151.4</v>
      </c>
      <c r="I647">
        <v>156.1</v>
      </c>
      <c r="J647">
        <v>100</v>
      </c>
      <c r="K647">
        <v>100</v>
      </c>
      <c r="L647" s="1" t="s">
        <v>1622</v>
      </c>
      <c r="M647" t="s">
        <v>1624</v>
      </c>
      <c r="N647">
        <v>2</v>
      </c>
    </row>
    <row r="648" spans="1:14" x14ac:dyDescent="0.25">
      <c r="A648" s="3" t="str">
        <f>HYPERLINK("http://www.ncbi.nlm.nih.gov/gene/1000","1000")</f>
        <v>1000</v>
      </c>
      <c r="B648" s="1" t="s">
        <v>1625</v>
      </c>
      <c r="C648" t="s">
        <v>1626</v>
      </c>
      <c r="D648">
        <v>134.80000000000001</v>
      </c>
      <c r="E648">
        <v>141.5</v>
      </c>
      <c r="F648">
        <v>99.3</v>
      </c>
      <c r="G648">
        <v>97.7</v>
      </c>
      <c r="H648">
        <v>152.30000000000001</v>
      </c>
      <c r="I648">
        <v>157.4</v>
      </c>
      <c r="J648">
        <v>100</v>
      </c>
      <c r="K648">
        <v>100</v>
      </c>
      <c r="L648" s="1" t="s">
        <v>1625</v>
      </c>
      <c r="M648" t="s">
        <v>1627</v>
      </c>
      <c r="N648">
        <v>3</v>
      </c>
    </row>
    <row r="649" spans="1:14" x14ac:dyDescent="0.25">
      <c r="A649" s="3" t="str">
        <f>HYPERLINK("http://www.ncbi.nlm.nih.gov/gene/64072","64072")</f>
        <v>64072</v>
      </c>
      <c r="B649" s="1" t="s">
        <v>1628</v>
      </c>
      <c r="C649" t="s">
        <v>1629</v>
      </c>
      <c r="D649">
        <v>180.9</v>
      </c>
      <c r="E649">
        <v>187.8</v>
      </c>
      <c r="F649">
        <v>100</v>
      </c>
      <c r="G649">
        <v>100</v>
      </c>
      <c r="H649">
        <v>138.30000000000001</v>
      </c>
      <c r="I649">
        <v>142.5</v>
      </c>
      <c r="J649">
        <v>100</v>
      </c>
      <c r="K649">
        <v>100</v>
      </c>
      <c r="L649" s="1" t="s">
        <v>1628</v>
      </c>
      <c r="M649" t="s">
        <v>1630</v>
      </c>
      <c r="N649">
        <v>5</v>
      </c>
    </row>
    <row r="650" spans="1:14" x14ac:dyDescent="0.25">
      <c r="A650" s="3" t="str">
        <f>HYPERLINK("http://www.ncbi.nlm.nih.gov/gene/1001","1001")</f>
        <v>1001</v>
      </c>
      <c r="B650" s="1" t="s">
        <v>1631</v>
      </c>
      <c r="C650" t="s">
        <v>1632</v>
      </c>
      <c r="D650">
        <v>151.69999999999999</v>
      </c>
      <c r="E650">
        <v>158.6</v>
      </c>
      <c r="F650">
        <v>100</v>
      </c>
      <c r="G650">
        <v>99.5</v>
      </c>
      <c r="H650">
        <v>133.5</v>
      </c>
      <c r="I650">
        <v>137.1</v>
      </c>
      <c r="J650">
        <v>100</v>
      </c>
      <c r="K650">
        <v>100</v>
      </c>
      <c r="L650" s="1" t="s">
        <v>1631</v>
      </c>
      <c r="M650" t="s">
        <v>1633</v>
      </c>
      <c r="N650">
        <v>4</v>
      </c>
    </row>
    <row r="651" spans="1:14" x14ac:dyDescent="0.25">
      <c r="A651" s="3" t="str">
        <f>HYPERLINK("http://www.ncbi.nlm.nih.gov/gene/92211","92211")</f>
        <v>92211</v>
      </c>
      <c r="B651" s="1" t="s">
        <v>1634</v>
      </c>
      <c r="C651" t="s">
        <v>1635</v>
      </c>
      <c r="D651">
        <v>159.69999999999999</v>
      </c>
      <c r="E651">
        <v>162.19999999999999</v>
      </c>
      <c r="F651">
        <v>99.2</v>
      </c>
      <c r="G651">
        <v>98.1</v>
      </c>
      <c r="H651">
        <v>153.9</v>
      </c>
      <c r="I651">
        <v>157.1</v>
      </c>
      <c r="J651">
        <v>100</v>
      </c>
      <c r="K651">
        <v>100</v>
      </c>
      <c r="L651" s="1" t="s">
        <v>1634</v>
      </c>
      <c r="M651" t="s">
        <v>56</v>
      </c>
      <c r="N651">
        <v>3</v>
      </c>
    </row>
    <row r="652" spans="1:14" x14ac:dyDescent="0.25">
      <c r="A652" s="3" t="str">
        <f>HYPERLINK("http://www.ncbi.nlm.nih.gov/gene/84529","84529")</f>
        <v>84529</v>
      </c>
      <c r="B652" s="1" t="s">
        <v>1636</v>
      </c>
      <c r="C652" t="s">
        <v>1637</v>
      </c>
      <c r="D652">
        <v>119.4</v>
      </c>
      <c r="E652">
        <v>121</v>
      </c>
      <c r="F652">
        <v>85.9</v>
      </c>
      <c r="G652">
        <v>85.6</v>
      </c>
      <c r="H652">
        <v>134.69999999999999</v>
      </c>
      <c r="I652">
        <v>137.6</v>
      </c>
      <c r="J652">
        <v>100</v>
      </c>
      <c r="K652">
        <v>100</v>
      </c>
      <c r="L652" s="1" t="s">
        <v>1638</v>
      </c>
      <c r="M652" t="s">
        <v>1639</v>
      </c>
      <c r="N652">
        <v>3</v>
      </c>
    </row>
    <row r="653" spans="1:14" x14ac:dyDescent="0.25">
      <c r="A653" s="3" t="str">
        <f>HYPERLINK("http://www.ncbi.nlm.nih.gov/gene/8558","8558")</f>
        <v>8558</v>
      </c>
      <c r="B653" s="1" t="s">
        <v>1640</v>
      </c>
      <c r="C653" t="s">
        <v>1641</v>
      </c>
      <c r="D653">
        <v>122.9</v>
      </c>
      <c r="E653">
        <v>124.8</v>
      </c>
      <c r="F653">
        <v>100</v>
      </c>
      <c r="G653">
        <v>99.9</v>
      </c>
      <c r="H653">
        <v>137.4</v>
      </c>
      <c r="I653">
        <v>139.4</v>
      </c>
      <c r="J653">
        <v>100</v>
      </c>
      <c r="K653">
        <v>100</v>
      </c>
      <c r="L653" s="1" t="s">
        <v>1640</v>
      </c>
      <c r="M653" t="s">
        <v>1642</v>
      </c>
      <c r="N653">
        <v>4</v>
      </c>
    </row>
    <row r="654" spans="1:14" x14ac:dyDescent="0.25">
      <c r="A654" s="3" t="str">
        <f>HYPERLINK("http://www.ncbi.nlm.nih.gov/gene/8621","8621")</f>
        <v>8621</v>
      </c>
      <c r="B654" s="1" t="s">
        <v>1643</v>
      </c>
      <c r="C654" t="s">
        <v>1644</v>
      </c>
      <c r="D654">
        <v>142.6</v>
      </c>
      <c r="E654">
        <v>146</v>
      </c>
      <c r="F654">
        <v>98</v>
      </c>
      <c r="G654">
        <v>92.7</v>
      </c>
      <c r="H654">
        <v>118.9</v>
      </c>
      <c r="I654">
        <v>120.6</v>
      </c>
      <c r="J654">
        <v>100</v>
      </c>
      <c r="K654">
        <v>100</v>
      </c>
      <c r="L654" s="1" t="s">
        <v>1643</v>
      </c>
      <c r="M654" t="s">
        <v>189</v>
      </c>
      <c r="N654">
        <v>2</v>
      </c>
    </row>
    <row r="655" spans="1:14" x14ac:dyDescent="0.25">
      <c r="A655" s="3" t="str">
        <f>HYPERLINK("http://www.ncbi.nlm.nih.gov/gene/23097","23097")</f>
        <v>23097</v>
      </c>
      <c r="B655" s="1" t="s">
        <v>1645</v>
      </c>
      <c r="C655" t="s">
        <v>1646</v>
      </c>
      <c r="D655">
        <v>155.69999999999999</v>
      </c>
      <c r="E655">
        <v>160.30000000000001</v>
      </c>
      <c r="F655">
        <v>100</v>
      </c>
      <c r="G655">
        <v>99.9</v>
      </c>
      <c r="H655">
        <v>138.4</v>
      </c>
      <c r="I655">
        <v>142.19999999999999</v>
      </c>
      <c r="J655">
        <v>100</v>
      </c>
      <c r="K655">
        <v>100</v>
      </c>
      <c r="L655" s="1" t="s">
        <v>1645</v>
      </c>
      <c r="M655" t="s">
        <v>189</v>
      </c>
      <c r="N655">
        <v>2</v>
      </c>
    </row>
    <row r="656" spans="1:14" x14ac:dyDescent="0.25">
      <c r="A656" s="3" t="str">
        <f>HYPERLINK("http://www.ncbi.nlm.nih.gov/gene/1019","1019")</f>
        <v>1019</v>
      </c>
      <c r="B656" s="1" t="s">
        <v>1647</v>
      </c>
      <c r="C656" t="s">
        <v>1648</v>
      </c>
      <c r="D656">
        <v>112.2</v>
      </c>
      <c r="E656">
        <v>114.2</v>
      </c>
      <c r="F656">
        <v>100</v>
      </c>
      <c r="G656">
        <v>99.7</v>
      </c>
      <c r="H656">
        <v>133.19999999999999</v>
      </c>
      <c r="I656">
        <v>136.69999999999999</v>
      </c>
      <c r="J656">
        <v>100</v>
      </c>
      <c r="K656">
        <v>100</v>
      </c>
      <c r="L656" s="1" t="s">
        <v>1647</v>
      </c>
      <c r="M656" t="s">
        <v>1649</v>
      </c>
      <c r="N656">
        <v>4</v>
      </c>
    </row>
    <row r="657" spans="1:14" x14ac:dyDescent="0.25">
      <c r="A657" s="3" t="str">
        <f>HYPERLINK("http://www.ncbi.nlm.nih.gov/gene/1020","1020")</f>
        <v>1020</v>
      </c>
      <c r="B657" s="1" t="s">
        <v>1650</v>
      </c>
      <c r="C657" t="s">
        <v>1651</v>
      </c>
      <c r="D657">
        <v>133.5</v>
      </c>
      <c r="E657">
        <v>133.69999999999999</v>
      </c>
      <c r="F657">
        <v>100</v>
      </c>
      <c r="G657">
        <v>100</v>
      </c>
      <c r="H657">
        <v>138.30000000000001</v>
      </c>
      <c r="I657">
        <v>139.6</v>
      </c>
      <c r="J657">
        <v>100</v>
      </c>
      <c r="K657">
        <v>100</v>
      </c>
      <c r="L657" s="1" t="s">
        <v>1650</v>
      </c>
      <c r="M657" t="s">
        <v>53</v>
      </c>
      <c r="N657">
        <v>2</v>
      </c>
    </row>
    <row r="658" spans="1:14" x14ac:dyDescent="0.25">
      <c r="A658" s="3" t="str">
        <f>HYPERLINK("http://www.ncbi.nlm.nih.gov/gene/55755","55755")</f>
        <v>55755</v>
      </c>
      <c r="B658" s="1" t="s">
        <v>1652</v>
      </c>
      <c r="C658" t="s">
        <v>1653</v>
      </c>
      <c r="D658">
        <v>127.4</v>
      </c>
      <c r="E658">
        <v>130.30000000000001</v>
      </c>
      <c r="F658">
        <v>99.8</v>
      </c>
      <c r="G658">
        <v>98.9</v>
      </c>
      <c r="H658">
        <v>139.69999999999999</v>
      </c>
      <c r="I658">
        <v>143.5</v>
      </c>
      <c r="J658">
        <v>100</v>
      </c>
      <c r="K658">
        <v>100</v>
      </c>
      <c r="L658" s="1" t="s">
        <v>1652</v>
      </c>
      <c r="M658" t="s">
        <v>228</v>
      </c>
      <c r="N658">
        <v>3</v>
      </c>
    </row>
    <row r="659" spans="1:14" x14ac:dyDescent="0.25">
      <c r="A659" s="3" t="str">
        <f>HYPERLINK("http://www.ncbi.nlm.nih.gov/gene/1021","1021")</f>
        <v>1021</v>
      </c>
      <c r="B659" s="1" t="s">
        <v>1654</v>
      </c>
      <c r="C659" t="s">
        <v>1655</v>
      </c>
      <c r="D659">
        <v>106.9</v>
      </c>
      <c r="E659">
        <v>111.3</v>
      </c>
      <c r="F659">
        <v>100</v>
      </c>
      <c r="G659">
        <v>99.6</v>
      </c>
      <c r="H659">
        <v>154.19999999999999</v>
      </c>
      <c r="I659">
        <v>159.4</v>
      </c>
      <c r="J659">
        <v>100</v>
      </c>
      <c r="K659">
        <v>100</v>
      </c>
      <c r="L659" s="1" t="s">
        <v>1654</v>
      </c>
      <c r="M659" t="s">
        <v>53</v>
      </c>
      <c r="N659">
        <v>2</v>
      </c>
    </row>
    <row r="660" spans="1:14" x14ac:dyDescent="0.25">
      <c r="A660" s="3" t="str">
        <f>HYPERLINK("http://www.ncbi.nlm.nih.gov/gene/1024","1024")</f>
        <v>1024</v>
      </c>
      <c r="B660" s="1" t="s">
        <v>1656</v>
      </c>
      <c r="C660" t="s">
        <v>1657</v>
      </c>
      <c r="D660">
        <v>179.1</v>
      </c>
      <c r="E660">
        <v>185.1</v>
      </c>
      <c r="F660">
        <v>99.7</v>
      </c>
      <c r="G660">
        <v>97.9</v>
      </c>
      <c r="H660">
        <v>116.1</v>
      </c>
      <c r="I660">
        <v>118.8</v>
      </c>
      <c r="J660">
        <v>100</v>
      </c>
      <c r="K660">
        <v>100</v>
      </c>
      <c r="L660" s="1" t="s">
        <v>1656</v>
      </c>
      <c r="M660" t="s">
        <v>189</v>
      </c>
      <c r="N660">
        <v>2</v>
      </c>
    </row>
    <row r="661" spans="1:14" x14ac:dyDescent="0.25">
      <c r="A661" s="3" t="str">
        <f>HYPERLINK("http://www.ncbi.nlm.nih.gov/gene/6792","6792")</f>
        <v>6792</v>
      </c>
      <c r="B661" s="1" t="s">
        <v>1658</v>
      </c>
      <c r="C661" t="s">
        <v>1659</v>
      </c>
      <c r="D661">
        <v>117.4</v>
      </c>
      <c r="E661">
        <v>121.1</v>
      </c>
      <c r="F661">
        <v>91.7</v>
      </c>
      <c r="G661">
        <v>90.2</v>
      </c>
      <c r="H661">
        <v>105</v>
      </c>
      <c r="I661">
        <v>106.3</v>
      </c>
      <c r="J661">
        <v>92.3</v>
      </c>
      <c r="K661">
        <v>91.7</v>
      </c>
      <c r="L661" s="1" t="s">
        <v>1658</v>
      </c>
      <c r="M661" t="s">
        <v>1425</v>
      </c>
      <c r="N661">
        <v>3</v>
      </c>
    </row>
    <row r="662" spans="1:14" x14ac:dyDescent="0.25">
      <c r="A662" s="3" t="str">
        <f>HYPERLINK("http://www.ncbi.nlm.nih.gov/gene/1026","1026")</f>
        <v>1026</v>
      </c>
      <c r="B662" s="1" t="s">
        <v>1660</v>
      </c>
      <c r="C662" t="s">
        <v>1661</v>
      </c>
      <c r="D662">
        <v>146.1</v>
      </c>
      <c r="E662">
        <v>138.30000000000001</v>
      </c>
      <c r="F662">
        <v>100</v>
      </c>
      <c r="G662">
        <v>100</v>
      </c>
      <c r="H662">
        <v>134.5</v>
      </c>
      <c r="I662">
        <v>138.4</v>
      </c>
      <c r="J662">
        <v>100</v>
      </c>
      <c r="K662">
        <v>100</v>
      </c>
      <c r="L662" s="1" t="s">
        <v>1660</v>
      </c>
      <c r="M662" t="s">
        <v>19</v>
      </c>
      <c r="N662">
        <v>2</v>
      </c>
    </row>
    <row r="663" spans="1:14" x14ac:dyDescent="0.25">
      <c r="A663" s="3" t="str">
        <f>HYPERLINK("http://www.ncbi.nlm.nih.gov/gene/1027","1027")</f>
        <v>1027</v>
      </c>
      <c r="B663" s="1" t="s">
        <v>1662</v>
      </c>
      <c r="C663" t="s">
        <v>1663</v>
      </c>
      <c r="D663">
        <v>144.4</v>
      </c>
      <c r="E663">
        <v>161.69999999999999</v>
      </c>
      <c r="F663">
        <v>100</v>
      </c>
      <c r="G663">
        <v>99.8</v>
      </c>
      <c r="H663">
        <v>130.30000000000001</v>
      </c>
      <c r="I663">
        <v>132.69999999999999</v>
      </c>
      <c r="J663">
        <v>100</v>
      </c>
      <c r="K663">
        <v>100</v>
      </c>
      <c r="L663" s="1" t="s">
        <v>1662</v>
      </c>
      <c r="M663" t="s">
        <v>19</v>
      </c>
      <c r="N663">
        <v>2</v>
      </c>
    </row>
    <row r="664" spans="1:14" x14ac:dyDescent="0.25">
      <c r="A664" s="3" t="str">
        <f>HYPERLINK("http://www.ncbi.nlm.nih.gov/gene/1028","1028")</f>
        <v>1028</v>
      </c>
      <c r="B664" s="1" t="s">
        <v>1664</v>
      </c>
      <c r="C664" t="s">
        <v>1665</v>
      </c>
      <c r="D664">
        <v>63.8</v>
      </c>
      <c r="E664">
        <v>66.8</v>
      </c>
      <c r="F664">
        <v>88</v>
      </c>
      <c r="G664">
        <v>77.8</v>
      </c>
      <c r="H664">
        <v>133.30000000000001</v>
      </c>
      <c r="I664">
        <v>131.30000000000001</v>
      </c>
      <c r="J664">
        <v>99.3</v>
      </c>
      <c r="K664">
        <v>97.3</v>
      </c>
      <c r="L664" s="1" t="s">
        <v>1664</v>
      </c>
      <c r="M664" t="s">
        <v>1666</v>
      </c>
      <c r="N664">
        <v>6</v>
      </c>
    </row>
    <row r="665" spans="1:14" x14ac:dyDescent="0.25">
      <c r="A665" s="3" t="str">
        <f>HYPERLINK("http://www.ncbi.nlm.nih.gov/gene/1029","1029")</f>
        <v>1029</v>
      </c>
      <c r="B665" s="1" t="s">
        <v>1667</v>
      </c>
      <c r="C665" t="s">
        <v>1668</v>
      </c>
      <c r="D665">
        <v>99.9</v>
      </c>
      <c r="E665">
        <v>96.9</v>
      </c>
      <c r="F665">
        <v>92.3</v>
      </c>
      <c r="G665">
        <v>92.1</v>
      </c>
      <c r="H665">
        <v>165.6</v>
      </c>
      <c r="I665">
        <v>171.4</v>
      </c>
      <c r="J665">
        <v>100</v>
      </c>
      <c r="K665">
        <v>100</v>
      </c>
      <c r="L665" s="1" t="s">
        <v>1667</v>
      </c>
      <c r="M665" t="s">
        <v>1669</v>
      </c>
      <c r="N665">
        <v>5</v>
      </c>
    </row>
    <row r="666" spans="1:14" x14ac:dyDescent="0.25">
      <c r="A666" s="3" t="str">
        <f>HYPERLINK("http://www.ncbi.nlm.nih.gov/gene/1030","1030")</f>
        <v>1030</v>
      </c>
      <c r="B666" s="1" t="s">
        <v>1670</v>
      </c>
      <c r="C666" t="s">
        <v>1671</v>
      </c>
      <c r="D666">
        <v>88.1</v>
      </c>
      <c r="E666">
        <v>88.3</v>
      </c>
      <c r="F666">
        <v>100</v>
      </c>
      <c r="G666">
        <v>99.9</v>
      </c>
      <c r="H666">
        <v>170.5</v>
      </c>
      <c r="I666">
        <v>175.6</v>
      </c>
      <c r="J666">
        <v>100</v>
      </c>
      <c r="K666">
        <v>100</v>
      </c>
      <c r="L666" s="1" t="s">
        <v>1670</v>
      </c>
      <c r="M666" t="s">
        <v>1672</v>
      </c>
      <c r="N666">
        <v>4</v>
      </c>
    </row>
    <row r="667" spans="1:14" x14ac:dyDescent="0.25">
      <c r="A667" s="3" t="str">
        <f>HYPERLINK("http://www.ncbi.nlm.nih.gov/gene/100048912","100048912")</f>
        <v>100048912</v>
      </c>
      <c r="B667" s="1" t="s">
        <v>1673</v>
      </c>
      <c r="C667" t="s">
        <v>1674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1" t="s">
        <v>1673</v>
      </c>
      <c r="M667" t="s">
        <v>661</v>
      </c>
      <c r="N667">
        <v>2</v>
      </c>
    </row>
    <row r="668" spans="1:14" x14ac:dyDescent="0.25">
      <c r="A668" s="3" t="str">
        <f>HYPERLINK("http://www.ncbi.nlm.nih.gov/gene/1031","1031")</f>
        <v>1031</v>
      </c>
      <c r="B668" s="1" t="s">
        <v>1675</v>
      </c>
      <c r="C668" t="s">
        <v>1676</v>
      </c>
      <c r="D668">
        <v>152.5</v>
      </c>
      <c r="E668">
        <v>159.19999999999999</v>
      </c>
      <c r="F668">
        <v>100</v>
      </c>
      <c r="G668">
        <v>100</v>
      </c>
      <c r="H668">
        <v>147.5</v>
      </c>
      <c r="I668">
        <v>154.19999999999999</v>
      </c>
      <c r="J668">
        <v>100</v>
      </c>
      <c r="K668">
        <v>100</v>
      </c>
      <c r="L668" s="1" t="s">
        <v>1675</v>
      </c>
      <c r="M668" t="s">
        <v>19</v>
      </c>
      <c r="N668">
        <v>2</v>
      </c>
    </row>
    <row r="669" spans="1:14" x14ac:dyDescent="0.25">
      <c r="A669" s="3" t="str">
        <f>HYPERLINK("http://www.ncbi.nlm.nih.gov/gene/50937","50937")</f>
        <v>50937</v>
      </c>
      <c r="B669" s="1" t="s">
        <v>1677</v>
      </c>
      <c r="C669" t="s">
        <v>1678</v>
      </c>
      <c r="D669">
        <v>129</v>
      </c>
      <c r="E669">
        <v>132.5</v>
      </c>
      <c r="F669">
        <v>100</v>
      </c>
      <c r="G669">
        <v>99.6</v>
      </c>
      <c r="H669">
        <v>139</v>
      </c>
      <c r="I669">
        <v>144</v>
      </c>
      <c r="J669">
        <v>100</v>
      </c>
      <c r="K669">
        <v>100</v>
      </c>
      <c r="L669" s="1" t="s">
        <v>1677</v>
      </c>
      <c r="M669" t="s">
        <v>1679</v>
      </c>
      <c r="N669">
        <v>3</v>
      </c>
    </row>
    <row r="670" spans="1:14" x14ac:dyDescent="0.25">
      <c r="A670" s="3" t="str">
        <f>HYPERLINK("http://www.ncbi.nlm.nih.gov/gene/1041","1041")</f>
        <v>1041</v>
      </c>
      <c r="B670" s="1" t="s">
        <v>1680</v>
      </c>
      <c r="C670" t="s">
        <v>1681</v>
      </c>
      <c r="D670">
        <v>149.9</v>
      </c>
      <c r="E670">
        <v>146.4</v>
      </c>
      <c r="F670">
        <v>100</v>
      </c>
      <c r="G670">
        <v>100</v>
      </c>
      <c r="H670">
        <v>273.60000000000002</v>
      </c>
      <c r="I670">
        <v>281.10000000000002</v>
      </c>
      <c r="J670">
        <v>100</v>
      </c>
      <c r="K670">
        <v>100</v>
      </c>
      <c r="L670" s="1" t="s">
        <v>1680</v>
      </c>
      <c r="M670" t="s">
        <v>1682</v>
      </c>
      <c r="N670">
        <v>4</v>
      </c>
    </row>
    <row r="671" spans="1:14" x14ac:dyDescent="0.25">
      <c r="A671" s="3" t="str">
        <f>HYPERLINK("http://www.ncbi.nlm.nih.gov/gene/81620","81620")</f>
        <v>81620</v>
      </c>
      <c r="B671" s="1" t="s">
        <v>1683</v>
      </c>
      <c r="C671" t="s">
        <v>1684</v>
      </c>
      <c r="D671">
        <v>113.9</v>
      </c>
      <c r="E671">
        <v>113.5</v>
      </c>
      <c r="F671">
        <v>99.7</v>
      </c>
      <c r="G671">
        <v>97.5</v>
      </c>
      <c r="H671">
        <v>133</v>
      </c>
      <c r="I671">
        <v>136.69999999999999</v>
      </c>
      <c r="J671">
        <v>100</v>
      </c>
      <c r="K671">
        <v>99.1</v>
      </c>
      <c r="L671" s="1" t="s">
        <v>1683</v>
      </c>
      <c r="M671" t="s">
        <v>1168</v>
      </c>
      <c r="N671">
        <v>3</v>
      </c>
    </row>
    <row r="672" spans="1:14" x14ac:dyDescent="0.25">
      <c r="A672" s="3" t="str">
        <f>HYPERLINK("http://www.ncbi.nlm.nih.gov/gene/388551","388551")</f>
        <v>388551</v>
      </c>
      <c r="B672" s="1" t="s">
        <v>1685</v>
      </c>
      <c r="C672" t="s">
        <v>1686</v>
      </c>
      <c r="D672">
        <v>128</v>
      </c>
      <c r="E672">
        <v>132</v>
      </c>
      <c r="F672">
        <v>100</v>
      </c>
      <c r="G672">
        <v>99.5</v>
      </c>
      <c r="H672">
        <v>158.6</v>
      </c>
      <c r="I672">
        <v>161.19999999999999</v>
      </c>
      <c r="J672">
        <v>100</v>
      </c>
      <c r="K672">
        <v>100</v>
      </c>
      <c r="L672" s="1" t="s">
        <v>1685</v>
      </c>
      <c r="M672" t="s">
        <v>1687</v>
      </c>
      <c r="N672">
        <v>3</v>
      </c>
    </row>
    <row r="673" spans="1:14" x14ac:dyDescent="0.25">
      <c r="A673" s="3" t="str">
        <f>HYPERLINK("http://www.ncbi.nlm.nih.gov/gene/1050","1050")</f>
        <v>1050</v>
      </c>
      <c r="B673" s="1" t="s">
        <v>1688</v>
      </c>
      <c r="C673" t="s">
        <v>1689</v>
      </c>
      <c r="D673">
        <v>126.7</v>
      </c>
      <c r="E673">
        <v>84.1</v>
      </c>
      <c r="F673">
        <v>98.6</v>
      </c>
      <c r="G673">
        <v>83.9</v>
      </c>
      <c r="H673">
        <v>96.3</v>
      </c>
      <c r="I673">
        <v>96.2</v>
      </c>
      <c r="J673">
        <v>99.3</v>
      </c>
      <c r="K673">
        <v>94.7</v>
      </c>
      <c r="L673" s="1" t="s">
        <v>1688</v>
      </c>
      <c r="M673" t="s">
        <v>1690</v>
      </c>
      <c r="N673">
        <v>3</v>
      </c>
    </row>
    <row r="674" spans="1:14" x14ac:dyDescent="0.25">
      <c r="A674" s="3" t="str">
        <f>HYPERLINK("http://www.ncbi.nlm.nih.gov/gene/1053","1053")</f>
        <v>1053</v>
      </c>
      <c r="B674" s="1" t="s">
        <v>1691</v>
      </c>
      <c r="C674" t="s">
        <v>1692</v>
      </c>
      <c r="D674">
        <v>99.8</v>
      </c>
      <c r="E674">
        <v>100.3</v>
      </c>
      <c r="F674">
        <v>100</v>
      </c>
      <c r="G674">
        <v>100</v>
      </c>
      <c r="H674">
        <v>152.19999999999999</v>
      </c>
      <c r="I674">
        <v>151.80000000000001</v>
      </c>
      <c r="J674">
        <v>100</v>
      </c>
      <c r="K674">
        <v>100</v>
      </c>
      <c r="L674" s="1" t="s">
        <v>1691</v>
      </c>
      <c r="M674" t="s">
        <v>1097</v>
      </c>
      <c r="N674">
        <v>3</v>
      </c>
    </row>
    <row r="675" spans="1:14" x14ac:dyDescent="0.25">
      <c r="A675" s="3" t="str">
        <f>HYPERLINK("http://www.ncbi.nlm.nih.gov/gene/1056","1056")</f>
        <v>1056</v>
      </c>
      <c r="B675" s="1" t="s">
        <v>1693</v>
      </c>
      <c r="C675" t="s">
        <v>1694</v>
      </c>
      <c r="D675">
        <v>166.8</v>
      </c>
      <c r="E675">
        <v>159.30000000000001</v>
      </c>
      <c r="F675">
        <v>89.7</v>
      </c>
      <c r="G675">
        <v>88</v>
      </c>
      <c r="H675">
        <v>121.5</v>
      </c>
      <c r="I675">
        <v>123.4</v>
      </c>
      <c r="J675">
        <v>100</v>
      </c>
      <c r="K675">
        <v>99.8</v>
      </c>
      <c r="L675" s="1" t="s">
        <v>1693</v>
      </c>
      <c r="M675" t="s">
        <v>441</v>
      </c>
      <c r="N675">
        <v>2</v>
      </c>
    </row>
    <row r="676" spans="1:14" x14ac:dyDescent="0.25">
      <c r="A676" s="3" t="str">
        <f>HYPERLINK("http://www.ncbi.nlm.nih.gov/gene/63036","63036")</f>
        <v>63036</v>
      </c>
      <c r="B676" s="1" t="s">
        <v>1695</v>
      </c>
      <c r="C676" t="s">
        <v>1696</v>
      </c>
      <c r="D676">
        <v>168.9</v>
      </c>
      <c r="E676">
        <v>174.8</v>
      </c>
      <c r="F676">
        <v>98.3</v>
      </c>
      <c r="G676">
        <v>95.5</v>
      </c>
      <c r="H676">
        <v>178.9</v>
      </c>
      <c r="I676">
        <v>183.9</v>
      </c>
      <c r="J676">
        <v>100</v>
      </c>
      <c r="K676">
        <v>100</v>
      </c>
      <c r="L676" s="1" t="s">
        <v>1695</v>
      </c>
      <c r="M676" t="s">
        <v>285</v>
      </c>
      <c r="N676">
        <v>1</v>
      </c>
    </row>
    <row r="677" spans="1:14" x14ac:dyDescent="0.25">
      <c r="A677" s="3" t="str">
        <f>HYPERLINK("http://www.ncbi.nlm.nih.gov/gene/9620","9620")</f>
        <v>9620</v>
      </c>
      <c r="B677" s="1" t="s">
        <v>1697</v>
      </c>
      <c r="C677" t="s">
        <v>1698</v>
      </c>
      <c r="D677">
        <v>155.19999999999999</v>
      </c>
      <c r="E677">
        <v>168</v>
      </c>
      <c r="F677">
        <v>94.7</v>
      </c>
      <c r="G677">
        <v>92.8</v>
      </c>
      <c r="H677">
        <v>146.19999999999999</v>
      </c>
      <c r="I677">
        <v>153.9</v>
      </c>
      <c r="J677">
        <v>99.5</v>
      </c>
      <c r="K677">
        <v>98.7</v>
      </c>
      <c r="L677" s="1" t="s">
        <v>1697</v>
      </c>
      <c r="M677" t="s">
        <v>29</v>
      </c>
      <c r="N677">
        <v>2</v>
      </c>
    </row>
    <row r="678" spans="1:14" x14ac:dyDescent="0.25">
      <c r="A678" s="3" t="str">
        <f>HYPERLINK("http://www.ncbi.nlm.nih.gov/gene/1062","1062")</f>
        <v>1062</v>
      </c>
      <c r="B678" s="1" t="s">
        <v>1699</v>
      </c>
      <c r="C678" t="s">
        <v>1700</v>
      </c>
      <c r="D678">
        <v>84.6</v>
      </c>
      <c r="E678">
        <v>87.1</v>
      </c>
      <c r="F678">
        <v>98.2</v>
      </c>
      <c r="G678">
        <v>92.2</v>
      </c>
      <c r="H678">
        <v>119.1</v>
      </c>
      <c r="I678">
        <v>123.1</v>
      </c>
      <c r="J678">
        <v>100</v>
      </c>
      <c r="K678">
        <v>100</v>
      </c>
      <c r="L678" s="1" t="s">
        <v>1699</v>
      </c>
      <c r="M678" t="s">
        <v>1168</v>
      </c>
      <c r="N678">
        <v>3</v>
      </c>
    </row>
    <row r="679" spans="1:14" x14ac:dyDescent="0.25">
      <c r="A679" s="3" t="str">
        <f>HYPERLINK("http://www.ncbi.nlm.nih.gov/gene/1063","1063")</f>
        <v>1063</v>
      </c>
      <c r="B679" s="1" t="s">
        <v>1701</v>
      </c>
      <c r="C679" t="s">
        <v>1702</v>
      </c>
      <c r="D679">
        <v>144</v>
      </c>
      <c r="E679">
        <v>145.1</v>
      </c>
      <c r="F679">
        <v>99.8</v>
      </c>
      <c r="G679">
        <v>98.5</v>
      </c>
      <c r="H679">
        <v>116.7</v>
      </c>
      <c r="I679">
        <v>117.2</v>
      </c>
      <c r="J679">
        <v>100</v>
      </c>
      <c r="K679">
        <v>100</v>
      </c>
      <c r="L679" s="1" t="s">
        <v>1701</v>
      </c>
      <c r="M679" t="s">
        <v>763</v>
      </c>
      <c r="N679">
        <v>4</v>
      </c>
    </row>
    <row r="680" spans="1:14" x14ac:dyDescent="0.25">
      <c r="A680" s="3" t="str">
        <f>HYPERLINK("http://www.ncbi.nlm.nih.gov/gene/55835","55835")</f>
        <v>55835</v>
      </c>
      <c r="B680" s="1" t="s">
        <v>1703</v>
      </c>
      <c r="C680" t="s">
        <v>1704</v>
      </c>
      <c r="D680">
        <v>157.6</v>
      </c>
      <c r="E680">
        <v>156.30000000000001</v>
      </c>
      <c r="F680">
        <v>100</v>
      </c>
      <c r="G680">
        <v>99.6</v>
      </c>
      <c r="H680">
        <v>146.9</v>
      </c>
      <c r="I680">
        <v>149.80000000000001</v>
      </c>
      <c r="J680">
        <v>100</v>
      </c>
      <c r="K680">
        <v>100</v>
      </c>
      <c r="L680" s="1" t="s">
        <v>1703</v>
      </c>
      <c r="M680" t="s">
        <v>228</v>
      </c>
      <c r="N680">
        <v>3</v>
      </c>
    </row>
    <row r="681" spans="1:14" x14ac:dyDescent="0.25">
      <c r="A681" s="3" t="str">
        <f>HYPERLINK("http://www.ncbi.nlm.nih.gov/gene/378708","378708")</f>
        <v>378708</v>
      </c>
      <c r="B681" s="1" t="s">
        <v>1705</v>
      </c>
      <c r="C681" t="s">
        <v>1706</v>
      </c>
      <c r="D681">
        <v>119.2</v>
      </c>
      <c r="E681">
        <v>123.7</v>
      </c>
      <c r="F681">
        <v>100</v>
      </c>
      <c r="G681">
        <v>98.6</v>
      </c>
      <c r="H681">
        <v>125.7</v>
      </c>
      <c r="I681">
        <v>128.19999999999999</v>
      </c>
      <c r="J681">
        <v>100</v>
      </c>
      <c r="K681">
        <v>100</v>
      </c>
      <c r="L681" s="1" t="s">
        <v>1705</v>
      </c>
      <c r="M681" t="s">
        <v>1462</v>
      </c>
      <c r="N681">
        <v>2</v>
      </c>
    </row>
    <row r="682" spans="1:14" x14ac:dyDescent="0.25">
      <c r="A682" s="3" t="str">
        <f>HYPERLINK("http://www.ncbi.nlm.nih.gov/gene/9731","9731")</f>
        <v>9731</v>
      </c>
      <c r="B682" s="1" t="s">
        <v>1707</v>
      </c>
      <c r="C682" t="s">
        <v>1708</v>
      </c>
      <c r="D682">
        <v>126.9</v>
      </c>
      <c r="E682">
        <v>131.5</v>
      </c>
      <c r="F682">
        <v>100</v>
      </c>
      <c r="G682">
        <v>99.2</v>
      </c>
      <c r="H682">
        <v>136.69999999999999</v>
      </c>
      <c r="I682">
        <v>140.80000000000001</v>
      </c>
      <c r="J682">
        <v>100</v>
      </c>
      <c r="K682">
        <v>100</v>
      </c>
      <c r="L682" s="1" t="s">
        <v>1707</v>
      </c>
      <c r="M682" t="s">
        <v>763</v>
      </c>
      <c r="N682">
        <v>4</v>
      </c>
    </row>
    <row r="683" spans="1:14" x14ac:dyDescent="0.25">
      <c r="A683" s="3" t="str">
        <f>HYPERLINK("http://www.ncbi.nlm.nih.gov/gene/153241","153241")</f>
        <v>153241</v>
      </c>
      <c r="B683" s="1" t="s">
        <v>1709</v>
      </c>
      <c r="C683" t="s">
        <v>1710</v>
      </c>
      <c r="D683">
        <v>164.4</v>
      </c>
      <c r="E683">
        <v>170.6</v>
      </c>
      <c r="F683">
        <v>100</v>
      </c>
      <c r="G683">
        <v>99.5</v>
      </c>
      <c r="H683">
        <v>137.5</v>
      </c>
      <c r="I683">
        <v>141.5</v>
      </c>
      <c r="J683">
        <v>100</v>
      </c>
      <c r="K683">
        <v>100</v>
      </c>
      <c r="L683" s="1" t="s">
        <v>1709</v>
      </c>
      <c r="M683" t="s">
        <v>1711</v>
      </c>
      <c r="N683">
        <v>7</v>
      </c>
    </row>
    <row r="684" spans="1:14" x14ac:dyDescent="0.25">
      <c r="A684" s="3" t="str">
        <f>HYPERLINK("http://www.ncbi.nlm.nih.gov/gene/9662","9662")</f>
        <v>9662</v>
      </c>
      <c r="B684" s="1" t="s">
        <v>1712</v>
      </c>
      <c r="C684" t="s">
        <v>1713</v>
      </c>
      <c r="D684">
        <v>101.5</v>
      </c>
      <c r="E684">
        <v>104.8</v>
      </c>
      <c r="F684">
        <v>99.1</v>
      </c>
      <c r="G684">
        <v>93.6</v>
      </c>
      <c r="H684">
        <v>109.7</v>
      </c>
      <c r="I684">
        <v>113</v>
      </c>
      <c r="J684">
        <v>100</v>
      </c>
      <c r="K684">
        <v>100</v>
      </c>
      <c r="L684" s="1" t="s">
        <v>1712</v>
      </c>
      <c r="M684" t="s">
        <v>228</v>
      </c>
      <c r="N684">
        <v>3</v>
      </c>
    </row>
    <row r="685" spans="1:14" x14ac:dyDescent="0.25">
      <c r="A685" s="3" t="str">
        <f>HYPERLINK("http://www.ncbi.nlm.nih.gov/gene/22995","22995")</f>
        <v>22995</v>
      </c>
      <c r="B685" s="1" t="s">
        <v>1714</v>
      </c>
      <c r="C685" t="s">
        <v>1715</v>
      </c>
      <c r="D685">
        <v>179.2</v>
      </c>
      <c r="E685">
        <v>184.2</v>
      </c>
      <c r="F685">
        <v>99.7</v>
      </c>
      <c r="G685">
        <v>98.2</v>
      </c>
      <c r="H685">
        <v>141.30000000000001</v>
      </c>
      <c r="I685">
        <v>145.5</v>
      </c>
      <c r="J685">
        <v>100</v>
      </c>
      <c r="K685">
        <v>100</v>
      </c>
      <c r="L685" s="1" t="s">
        <v>1714</v>
      </c>
      <c r="M685" t="s">
        <v>656</v>
      </c>
      <c r="N685">
        <v>4</v>
      </c>
    </row>
    <row r="686" spans="1:14" x14ac:dyDescent="0.25">
      <c r="A686" s="3" t="str">
        <f>HYPERLINK("http://www.ncbi.nlm.nih.gov/gene/22897","22897")</f>
        <v>22897</v>
      </c>
      <c r="B686" s="1" t="s">
        <v>1716</v>
      </c>
      <c r="C686" t="s">
        <v>1717</v>
      </c>
      <c r="D686">
        <v>100</v>
      </c>
      <c r="E686">
        <v>102.8</v>
      </c>
      <c r="F686">
        <v>99.9</v>
      </c>
      <c r="G686">
        <v>98.3</v>
      </c>
      <c r="H686">
        <v>127.8</v>
      </c>
      <c r="I686">
        <v>130.5</v>
      </c>
      <c r="J686">
        <v>100</v>
      </c>
      <c r="K686">
        <v>100</v>
      </c>
      <c r="L686" s="1" t="s">
        <v>1716</v>
      </c>
      <c r="M686" t="s">
        <v>1063</v>
      </c>
      <c r="N686">
        <v>5</v>
      </c>
    </row>
    <row r="687" spans="1:14" x14ac:dyDescent="0.25">
      <c r="A687" s="3" t="str">
        <f>HYPERLINK("http://www.ncbi.nlm.nih.gov/gene/84984","84984")</f>
        <v>84984</v>
      </c>
      <c r="B687" s="1" t="s">
        <v>1718</v>
      </c>
      <c r="C687" t="s">
        <v>1719</v>
      </c>
      <c r="D687">
        <v>221.1</v>
      </c>
      <c r="E687">
        <v>231.4</v>
      </c>
      <c r="F687">
        <v>100</v>
      </c>
      <c r="G687">
        <v>100</v>
      </c>
      <c r="H687">
        <v>158.6</v>
      </c>
      <c r="I687">
        <v>161.9</v>
      </c>
      <c r="J687">
        <v>100</v>
      </c>
      <c r="K687">
        <v>100</v>
      </c>
      <c r="L687" s="1" t="s">
        <v>1718</v>
      </c>
      <c r="M687" t="s">
        <v>53</v>
      </c>
      <c r="N687">
        <v>2</v>
      </c>
    </row>
    <row r="688" spans="1:14" x14ac:dyDescent="0.25">
      <c r="A688" s="3" t="str">
        <f>HYPERLINK("http://www.ncbi.nlm.nih.gov/gene/11190","11190")</f>
        <v>11190</v>
      </c>
      <c r="B688" s="1" t="s">
        <v>1720</v>
      </c>
      <c r="C688" t="s">
        <v>1721</v>
      </c>
      <c r="D688">
        <v>98.5</v>
      </c>
      <c r="E688">
        <v>102.9</v>
      </c>
      <c r="F688">
        <v>100</v>
      </c>
      <c r="G688">
        <v>99.2</v>
      </c>
      <c r="H688">
        <v>121.3</v>
      </c>
      <c r="I688">
        <v>123.5</v>
      </c>
      <c r="J688">
        <v>100</v>
      </c>
      <c r="K688">
        <v>100</v>
      </c>
      <c r="L688" s="1" t="s">
        <v>1720</v>
      </c>
      <c r="M688" t="s">
        <v>1722</v>
      </c>
      <c r="N688">
        <v>3</v>
      </c>
    </row>
    <row r="689" spans="1:14" x14ac:dyDescent="0.25">
      <c r="A689" s="3" t="str">
        <f>HYPERLINK("http://www.ncbi.nlm.nih.gov/gene/80184","80184")</f>
        <v>80184</v>
      </c>
      <c r="B689" s="1" t="s">
        <v>1723</v>
      </c>
      <c r="C689" t="s">
        <v>1724</v>
      </c>
      <c r="D689">
        <v>92.5</v>
      </c>
      <c r="E689">
        <v>97</v>
      </c>
      <c r="F689">
        <v>96.1</v>
      </c>
      <c r="G689">
        <v>90</v>
      </c>
      <c r="H689">
        <v>126.8</v>
      </c>
      <c r="I689">
        <v>130.19999999999999</v>
      </c>
      <c r="J689">
        <v>100</v>
      </c>
      <c r="K689">
        <v>100</v>
      </c>
      <c r="L689" s="1" t="s">
        <v>1723</v>
      </c>
      <c r="M689" t="s">
        <v>1711</v>
      </c>
      <c r="N689">
        <v>7</v>
      </c>
    </row>
    <row r="690" spans="1:14" x14ac:dyDescent="0.25">
      <c r="A690" s="3" t="str">
        <f>HYPERLINK("http://www.ncbi.nlm.nih.gov/gene/95681","95681")</f>
        <v>95681</v>
      </c>
      <c r="B690" s="1" t="s">
        <v>1725</v>
      </c>
      <c r="C690" t="s">
        <v>1726</v>
      </c>
      <c r="D690">
        <v>90.4</v>
      </c>
      <c r="E690">
        <v>92.6</v>
      </c>
      <c r="F690">
        <v>99.8</v>
      </c>
      <c r="G690">
        <v>97.4</v>
      </c>
      <c r="H690">
        <v>126.5</v>
      </c>
      <c r="I690">
        <v>130</v>
      </c>
      <c r="J690">
        <v>100</v>
      </c>
      <c r="K690">
        <v>100</v>
      </c>
      <c r="L690" s="1" t="s">
        <v>1725</v>
      </c>
      <c r="M690" t="s">
        <v>1727</v>
      </c>
      <c r="N690">
        <v>7</v>
      </c>
    </row>
    <row r="691" spans="1:14" x14ac:dyDescent="0.25">
      <c r="A691" s="3" t="str">
        <f>HYPERLINK("http://www.ncbi.nlm.nih.gov/gene/55165","55165")</f>
        <v>55165</v>
      </c>
      <c r="B691" s="1" t="s">
        <v>1728</v>
      </c>
      <c r="C691" t="s">
        <v>1729</v>
      </c>
      <c r="D691">
        <v>134.5</v>
      </c>
      <c r="E691">
        <v>138.6</v>
      </c>
      <c r="F691">
        <v>100</v>
      </c>
      <c r="G691">
        <v>99.8</v>
      </c>
      <c r="H691">
        <v>132.69999999999999</v>
      </c>
      <c r="I691">
        <v>137.1</v>
      </c>
      <c r="J691">
        <v>100</v>
      </c>
      <c r="K691">
        <v>100</v>
      </c>
      <c r="L691" s="1" t="s">
        <v>1728</v>
      </c>
      <c r="M691" t="s">
        <v>1730</v>
      </c>
      <c r="N691">
        <v>5</v>
      </c>
    </row>
    <row r="692" spans="1:14" x14ac:dyDescent="0.25">
      <c r="A692" s="3" t="str">
        <f>HYPERLINK("http://www.ncbi.nlm.nih.gov/gene/9702","9702")</f>
        <v>9702</v>
      </c>
      <c r="B692" s="1" t="s">
        <v>1731</v>
      </c>
      <c r="C692" t="s">
        <v>1732</v>
      </c>
      <c r="D692">
        <v>96.4</v>
      </c>
      <c r="E692">
        <v>99.8</v>
      </c>
      <c r="F692">
        <v>99.2</v>
      </c>
      <c r="G692">
        <v>93</v>
      </c>
      <c r="H692">
        <v>112.7</v>
      </c>
      <c r="I692">
        <v>116</v>
      </c>
      <c r="J692">
        <v>100</v>
      </c>
      <c r="K692">
        <v>100</v>
      </c>
      <c r="L692" s="1" t="s">
        <v>1731</v>
      </c>
      <c r="M692" t="s">
        <v>228</v>
      </c>
      <c r="N692">
        <v>3</v>
      </c>
    </row>
    <row r="693" spans="1:14" x14ac:dyDescent="0.25">
      <c r="A693" s="3" t="str">
        <f>HYPERLINK("http://www.ncbi.nlm.nih.gov/gene/80254","80254")</f>
        <v>80254</v>
      </c>
      <c r="B693" s="1" t="s">
        <v>1733</v>
      </c>
      <c r="C693" t="s">
        <v>1734</v>
      </c>
      <c r="D693">
        <v>140.69999999999999</v>
      </c>
      <c r="E693">
        <v>150.1</v>
      </c>
      <c r="F693">
        <v>99.3</v>
      </c>
      <c r="G693">
        <v>96.5</v>
      </c>
      <c r="H693">
        <v>120.2</v>
      </c>
      <c r="I693">
        <v>124</v>
      </c>
      <c r="J693">
        <v>100</v>
      </c>
      <c r="K693">
        <v>100</v>
      </c>
      <c r="L693" s="1" t="s">
        <v>1733</v>
      </c>
      <c r="M693" t="s">
        <v>53</v>
      </c>
      <c r="N693">
        <v>2</v>
      </c>
    </row>
    <row r="694" spans="1:14" x14ac:dyDescent="0.25">
      <c r="A694" s="3" t="str">
        <f>HYPERLINK("http://www.ncbi.nlm.nih.gov/gene/84131","84131")</f>
        <v>84131</v>
      </c>
      <c r="B694" s="1" t="s">
        <v>1735</v>
      </c>
      <c r="C694" t="s">
        <v>1736</v>
      </c>
      <c r="D694">
        <v>124.5</v>
      </c>
      <c r="E694">
        <v>129.4</v>
      </c>
      <c r="F694">
        <v>98.9</v>
      </c>
      <c r="G694">
        <v>96.8</v>
      </c>
      <c r="H694">
        <v>122.8</v>
      </c>
      <c r="I694">
        <v>125.7</v>
      </c>
      <c r="J694">
        <v>100</v>
      </c>
      <c r="K694">
        <v>100</v>
      </c>
      <c r="L694" s="1" t="s">
        <v>1735</v>
      </c>
      <c r="M694" t="s">
        <v>780</v>
      </c>
      <c r="N694">
        <v>4</v>
      </c>
    </row>
    <row r="695" spans="1:14" x14ac:dyDescent="0.25">
      <c r="A695" s="3" t="str">
        <f>HYPERLINK("http://www.ncbi.nlm.nih.gov/gene/51134","51134")</f>
        <v>51134</v>
      </c>
      <c r="B695" s="1" t="s">
        <v>1737</v>
      </c>
      <c r="C695" t="s">
        <v>1738</v>
      </c>
      <c r="D695">
        <v>127.3</v>
      </c>
      <c r="E695">
        <v>133.1</v>
      </c>
      <c r="F695">
        <v>99.8</v>
      </c>
      <c r="G695">
        <v>97.4</v>
      </c>
      <c r="H695">
        <v>126.7</v>
      </c>
      <c r="I695">
        <v>130.69999999999999</v>
      </c>
      <c r="J695">
        <v>100</v>
      </c>
      <c r="K695">
        <v>100</v>
      </c>
      <c r="L695" s="1" t="s">
        <v>1737</v>
      </c>
      <c r="M695" t="s">
        <v>1739</v>
      </c>
      <c r="N695">
        <v>7</v>
      </c>
    </row>
    <row r="696" spans="1:14" x14ac:dyDescent="0.25">
      <c r="A696" s="3" t="str">
        <f>HYPERLINK("http://www.ncbi.nlm.nih.gov/gene/84902","84902")</f>
        <v>84902</v>
      </c>
      <c r="B696" s="1" t="s">
        <v>1740</v>
      </c>
      <c r="C696" t="s">
        <v>1741</v>
      </c>
      <c r="D696">
        <v>163.1</v>
      </c>
      <c r="E696">
        <v>159</v>
      </c>
      <c r="F696">
        <v>96</v>
      </c>
      <c r="G696">
        <v>94.5</v>
      </c>
      <c r="H696">
        <v>153.80000000000001</v>
      </c>
      <c r="I696">
        <v>154.80000000000001</v>
      </c>
      <c r="J696">
        <v>100</v>
      </c>
      <c r="K696">
        <v>100</v>
      </c>
      <c r="L696" s="1" t="s">
        <v>1740</v>
      </c>
      <c r="M696" t="s">
        <v>1742</v>
      </c>
      <c r="N696">
        <v>3</v>
      </c>
    </row>
    <row r="697" spans="1:14" x14ac:dyDescent="0.25">
      <c r="A697" s="3" t="str">
        <f>HYPERLINK("http://www.ncbi.nlm.nih.gov/gene/375298","375298")</f>
        <v>375298</v>
      </c>
      <c r="B697" s="1" t="s">
        <v>1743</v>
      </c>
      <c r="C697" t="s">
        <v>1744</v>
      </c>
      <c r="D697">
        <v>120.6</v>
      </c>
      <c r="E697">
        <v>124.1</v>
      </c>
      <c r="F697">
        <v>99.5</v>
      </c>
      <c r="G697">
        <v>96.9</v>
      </c>
      <c r="H697">
        <v>132.1</v>
      </c>
      <c r="I697">
        <v>135</v>
      </c>
      <c r="J697">
        <v>100</v>
      </c>
      <c r="K697">
        <v>100</v>
      </c>
      <c r="L697" s="1" t="s">
        <v>1743</v>
      </c>
      <c r="M697" t="s">
        <v>1745</v>
      </c>
      <c r="N697">
        <v>4</v>
      </c>
    </row>
    <row r="698" spans="1:14" x14ac:dyDescent="0.25">
      <c r="A698" s="3" t="str">
        <f>HYPERLINK("http://www.ncbi.nlm.nih.gov/gene/10715","10715")</f>
        <v>10715</v>
      </c>
      <c r="B698" s="1" t="s">
        <v>1746</v>
      </c>
      <c r="C698" t="s">
        <v>1747</v>
      </c>
      <c r="D698">
        <v>65.099999999999994</v>
      </c>
      <c r="E698">
        <v>61.1</v>
      </c>
      <c r="F698">
        <v>75.400000000000006</v>
      </c>
      <c r="G698">
        <v>63.7</v>
      </c>
      <c r="H698">
        <v>94.9</v>
      </c>
      <c r="I698">
        <v>96.3</v>
      </c>
      <c r="J698">
        <v>94.2</v>
      </c>
      <c r="K698">
        <v>86.4</v>
      </c>
      <c r="L698" s="1" t="s">
        <v>1746</v>
      </c>
      <c r="M698" t="s">
        <v>53</v>
      </c>
      <c r="N698">
        <v>2</v>
      </c>
    </row>
    <row r="699" spans="1:14" x14ac:dyDescent="0.25">
      <c r="A699" s="3" t="str">
        <f>HYPERLINK("http://www.ncbi.nlm.nih.gov/gene/204219","204219")</f>
        <v>204219</v>
      </c>
      <c r="B699" s="1" t="s">
        <v>1748</v>
      </c>
      <c r="C699" t="s">
        <v>1749</v>
      </c>
      <c r="D699">
        <v>110.5</v>
      </c>
      <c r="E699">
        <v>114.6</v>
      </c>
      <c r="F699">
        <v>99.9</v>
      </c>
      <c r="G699">
        <v>98.9</v>
      </c>
      <c r="H699">
        <v>125.7</v>
      </c>
      <c r="I699">
        <v>129.9</v>
      </c>
      <c r="J699">
        <v>100</v>
      </c>
      <c r="K699">
        <v>100</v>
      </c>
      <c r="L699" s="1" t="s">
        <v>1748</v>
      </c>
      <c r="M699" t="s">
        <v>422</v>
      </c>
      <c r="N699">
        <v>4</v>
      </c>
    </row>
    <row r="700" spans="1:14" x14ac:dyDescent="0.25">
      <c r="A700" s="3" t="str">
        <f>HYPERLINK("http://www.ncbi.nlm.nih.gov/gene/10087","10087")</f>
        <v>10087</v>
      </c>
      <c r="B700" s="1" t="s">
        <v>1750</v>
      </c>
      <c r="C700" t="s">
        <v>1751</v>
      </c>
      <c r="D700">
        <v>131.9</v>
      </c>
      <c r="E700">
        <v>136.1</v>
      </c>
      <c r="F700">
        <v>90.2</v>
      </c>
      <c r="G700">
        <v>87.3</v>
      </c>
      <c r="H700">
        <v>138.4</v>
      </c>
      <c r="I700">
        <v>142.19999999999999</v>
      </c>
      <c r="J700">
        <v>100</v>
      </c>
      <c r="K700">
        <v>100</v>
      </c>
      <c r="L700" s="1" t="s">
        <v>1750</v>
      </c>
      <c r="M700" t="s">
        <v>995</v>
      </c>
      <c r="N700">
        <v>3</v>
      </c>
    </row>
    <row r="701" spans="1:14" x14ac:dyDescent="0.25">
      <c r="A701" s="3" t="str">
        <f>HYPERLINK("http://www.ncbi.nlm.nih.gov/gene/1066","1066")</f>
        <v>1066</v>
      </c>
      <c r="B701" s="1" t="s">
        <v>1752</v>
      </c>
      <c r="C701" t="s">
        <v>1753</v>
      </c>
      <c r="D701">
        <v>152.19999999999999</v>
      </c>
      <c r="E701">
        <v>152.9</v>
      </c>
      <c r="F701">
        <v>99.8</v>
      </c>
      <c r="G701">
        <v>99.3</v>
      </c>
      <c r="H701">
        <v>209.9</v>
      </c>
      <c r="I701">
        <v>216.9</v>
      </c>
      <c r="J701">
        <v>99.9</v>
      </c>
      <c r="K701">
        <v>99.9</v>
      </c>
      <c r="L701" s="1" t="s">
        <v>1752</v>
      </c>
      <c r="M701" t="s">
        <v>22</v>
      </c>
      <c r="N701">
        <v>1</v>
      </c>
    </row>
    <row r="702" spans="1:14" x14ac:dyDescent="0.25">
      <c r="A702" s="3" t="str">
        <f>HYPERLINK("http://www.ncbi.nlm.nih.gov/gene/1071","1071")</f>
        <v>1071</v>
      </c>
      <c r="B702" s="1" t="s">
        <v>1754</v>
      </c>
      <c r="C702" t="s">
        <v>1755</v>
      </c>
      <c r="D702">
        <v>124.3</v>
      </c>
      <c r="E702">
        <v>126.7</v>
      </c>
      <c r="F702">
        <v>100</v>
      </c>
      <c r="G702">
        <v>99.9</v>
      </c>
      <c r="H702">
        <v>129.9</v>
      </c>
      <c r="I702">
        <v>132.6</v>
      </c>
      <c r="J702">
        <v>100</v>
      </c>
      <c r="K702">
        <v>100</v>
      </c>
      <c r="L702" s="1" t="s">
        <v>1754</v>
      </c>
      <c r="M702" t="s">
        <v>285</v>
      </c>
      <c r="N702">
        <v>1</v>
      </c>
    </row>
    <row r="703" spans="1:14" x14ac:dyDescent="0.25">
      <c r="A703" s="3" t="str">
        <f>HYPERLINK("http://www.ncbi.nlm.nih.gov/gene/144406","144406")</f>
        <v>144406</v>
      </c>
      <c r="B703" s="1" t="s">
        <v>1756</v>
      </c>
      <c r="C703" t="s">
        <v>1757</v>
      </c>
      <c r="D703">
        <v>130.1</v>
      </c>
      <c r="E703">
        <v>130.1</v>
      </c>
      <c r="F703">
        <v>100</v>
      </c>
      <c r="G703">
        <v>100</v>
      </c>
      <c r="H703">
        <v>132.19999999999999</v>
      </c>
      <c r="I703">
        <v>136.30000000000001</v>
      </c>
      <c r="J703">
        <v>100</v>
      </c>
      <c r="K703">
        <v>100</v>
      </c>
      <c r="L703" s="1" t="s">
        <v>1758</v>
      </c>
      <c r="M703" t="s">
        <v>1495</v>
      </c>
      <c r="N703">
        <v>2</v>
      </c>
    </row>
    <row r="704" spans="1:14" x14ac:dyDescent="0.25">
      <c r="A704" s="3" t="str">
        <f>HYPERLINK("http://www.ncbi.nlm.nih.gov/gene/56683","56683")</f>
        <v>56683</v>
      </c>
      <c r="B704" s="1" t="s">
        <v>1759</v>
      </c>
      <c r="C704" t="s">
        <v>1760</v>
      </c>
      <c r="D704">
        <v>149.6</v>
      </c>
      <c r="E704">
        <v>154.6</v>
      </c>
      <c r="F704">
        <v>100</v>
      </c>
      <c r="G704">
        <v>99.7</v>
      </c>
      <c r="H704">
        <v>159.30000000000001</v>
      </c>
      <c r="I704">
        <v>163.9</v>
      </c>
      <c r="J704">
        <v>100</v>
      </c>
      <c r="K704">
        <v>100</v>
      </c>
      <c r="L704" s="1" t="s">
        <v>1759</v>
      </c>
      <c r="M704" t="s">
        <v>1483</v>
      </c>
      <c r="N704">
        <v>3</v>
      </c>
    </row>
    <row r="705" spans="1:14" x14ac:dyDescent="0.25">
      <c r="A705" s="3" t="str">
        <f>HYPERLINK("http://www.ncbi.nlm.nih.gov/gene/85016","85016")</f>
        <v>85016</v>
      </c>
      <c r="B705" s="1" t="s">
        <v>1761</v>
      </c>
      <c r="C705" t="s">
        <v>1762</v>
      </c>
      <c r="D705">
        <v>95.2</v>
      </c>
      <c r="E705">
        <v>97.8</v>
      </c>
      <c r="F705">
        <v>99.3</v>
      </c>
      <c r="G705">
        <v>95.9</v>
      </c>
      <c r="H705">
        <v>120</v>
      </c>
      <c r="I705">
        <v>124.1</v>
      </c>
      <c r="J705">
        <v>100</v>
      </c>
      <c r="K705">
        <v>100</v>
      </c>
      <c r="L705" s="1" t="s">
        <v>1761</v>
      </c>
      <c r="M705" t="s">
        <v>1495</v>
      </c>
      <c r="N705">
        <v>2</v>
      </c>
    </row>
    <row r="706" spans="1:14" x14ac:dyDescent="0.25">
      <c r="A706" s="3" t="str">
        <f>HYPERLINK("http://www.ncbi.nlm.nih.gov/gene/755","755")</f>
        <v>755</v>
      </c>
      <c r="B706" s="1" t="s">
        <v>1763</v>
      </c>
      <c r="C706" t="s">
        <v>1764</v>
      </c>
      <c r="D706">
        <v>107.7</v>
      </c>
      <c r="E706">
        <v>107.3</v>
      </c>
      <c r="F706">
        <v>100</v>
      </c>
      <c r="G706">
        <v>99.3</v>
      </c>
      <c r="H706">
        <v>176.5</v>
      </c>
      <c r="I706">
        <v>180.5</v>
      </c>
      <c r="J706">
        <v>100</v>
      </c>
      <c r="K706">
        <v>100</v>
      </c>
      <c r="L706" s="1" t="s">
        <v>1763</v>
      </c>
      <c r="M706" t="s">
        <v>1765</v>
      </c>
      <c r="N706">
        <v>5</v>
      </c>
    </row>
    <row r="707" spans="1:14" x14ac:dyDescent="0.25">
      <c r="A707" s="3" t="str">
        <f>HYPERLINK("http://www.ncbi.nlm.nih.gov/gene/80217","80217")</f>
        <v>80217</v>
      </c>
      <c r="B707" s="1" t="s">
        <v>1766</v>
      </c>
      <c r="C707" t="s">
        <v>1767</v>
      </c>
      <c r="D707">
        <v>141</v>
      </c>
      <c r="E707">
        <v>148.19999999999999</v>
      </c>
      <c r="F707">
        <v>99.9</v>
      </c>
      <c r="G707">
        <v>98.9</v>
      </c>
      <c r="H707">
        <v>132.19999999999999</v>
      </c>
      <c r="I707">
        <v>136.30000000000001</v>
      </c>
      <c r="J707">
        <v>100</v>
      </c>
      <c r="K707">
        <v>100</v>
      </c>
      <c r="L707" s="1" t="s">
        <v>1766</v>
      </c>
      <c r="M707" t="s">
        <v>59</v>
      </c>
      <c r="N707">
        <v>1</v>
      </c>
    </row>
    <row r="708" spans="1:14" x14ac:dyDescent="0.25">
      <c r="A708" s="3" t="str">
        <f>HYPERLINK("http://www.ncbi.nlm.nih.gov/gene/55779","55779")</f>
        <v>55779</v>
      </c>
      <c r="B708" s="1" t="s">
        <v>1768</v>
      </c>
      <c r="C708" t="s">
        <v>1769</v>
      </c>
      <c r="D708">
        <v>126.1</v>
      </c>
      <c r="E708">
        <v>130.4</v>
      </c>
      <c r="F708">
        <v>99.8</v>
      </c>
      <c r="G708">
        <v>98.9</v>
      </c>
      <c r="H708">
        <v>145.80000000000001</v>
      </c>
      <c r="I708">
        <v>150.69999999999999</v>
      </c>
      <c r="J708">
        <v>100</v>
      </c>
      <c r="K708">
        <v>100</v>
      </c>
      <c r="L708" s="1" t="s">
        <v>1768</v>
      </c>
      <c r="M708" t="s">
        <v>1495</v>
      </c>
      <c r="N708">
        <v>2</v>
      </c>
    </row>
    <row r="709" spans="1:14" x14ac:dyDescent="0.25">
      <c r="A709" s="3" t="str">
        <f>HYPERLINK("http://www.ncbi.nlm.nih.gov/gene/220136","220136")</f>
        <v>220136</v>
      </c>
      <c r="B709" s="1" t="s">
        <v>1770</v>
      </c>
      <c r="C709" t="s">
        <v>1771</v>
      </c>
      <c r="D709">
        <v>141.5</v>
      </c>
      <c r="E709">
        <v>150.5</v>
      </c>
      <c r="F709">
        <v>99.6</v>
      </c>
      <c r="G709">
        <v>97.4</v>
      </c>
      <c r="H709">
        <v>145</v>
      </c>
      <c r="I709">
        <v>151.9</v>
      </c>
      <c r="J709">
        <v>100</v>
      </c>
      <c r="K709">
        <v>100</v>
      </c>
      <c r="L709" s="1" t="s">
        <v>1770</v>
      </c>
      <c r="M709" t="s">
        <v>1772</v>
      </c>
      <c r="N709">
        <v>5</v>
      </c>
    </row>
    <row r="710" spans="1:14" x14ac:dyDescent="0.25">
      <c r="A710" s="3" t="str">
        <f>HYPERLINK("http://www.ncbi.nlm.nih.gov/gene/159686","159686")</f>
        <v>159686</v>
      </c>
      <c r="B710" s="1" t="s">
        <v>1773</v>
      </c>
      <c r="C710" t="s">
        <v>1774</v>
      </c>
      <c r="D710">
        <v>105.1</v>
      </c>
      <c r="E710">
        <v>109.9</v>
      </c>
      <c r="F710">
        <v>99.9</v>
      </c>
      <c r="G710">
        <v>98.7</v>
      </c>
      <c r="H710">
        <v>124.5</v>
      </c>
      <c r="I710">
        <v>128.19999999999999</v>
      </c>
      <c r="J710">
        <v>100</v>
      </c>
      <c r="K710">
        <v>100</v>
      </c>
      <c r="L710" s="1" t="s">
        <v>1773</v>
      </c>
      <c r="M710" t="s">
        <v>265</v>
      </c>
      <c r="N710">
        <v>2</v>
      </c>
    </row>
    <row r="711" spans="1:14" x14ac:dyDescent="0.25">
      <c r="A711" s="3" t="str">
        <f>HYPERLINK("http://www.ncbi.nlm.nih.gov/gene/79846","79846")</f>
        <v>79846</v>
      </c>
      <c r="B711" s="1" t="s">
        <v>1775</v>
      </c>
      <c r="C711" t="s">
        <v>1776</v>
      </c>
      <c r="D711">
        <v>79.8</v>
      </c>
      <c r="E711">
        <v>82.6</v>
      </c>
      <c r="F711">
        <v>98.7</v>
      </c>
      <c r="G711">
        <v>93.5</v>
      </c>
      <c r="H711">
        <v>113.7</v>
      </c>
      <c r="I711">
        <v>117.3</v>
      </c>
      <c r="J711">
        <v>100</v>
      </c>
      <c r="K711">
        <v>100</v>
      </c>
      <c r="L711" s="1" t="s">
        <v>1775</v>
      </c>
      <c r="M711" t="s">
        <v>1495</v>
      </c>
      <c r="N711">
        <v>2</v>
      </c>
    </row>
    <row r="712" spans="1:14" x14ac:dyDescent="0.25">
      <c r="A712" s="3" t="str">
        <f>HYPERLINK("http://www.ncbi.nlm.nih.gov/gene/629","629")</f>
        <v>629</v>
      </c>
      <c r="B712" s="1" t="s">
        <v>1777</v>
      </c>
      <c r="C712" t="s">
        <v>1778</v>
      </c>
      <c r="D712">
        <v>138</v>
      </c>
      <c r="E712">
        <v>139.69999999999999</v>
      </c>
      <c r="F712">
        <v>100</v>
      </c>
      <c r="G712">
        <v>100</v>
      </c>
      <c r="H712">
        <v>191.2</v>
      </c>
      <c r="I712">
        <v>196.5</v>
      </c>
      <c r="J712">
        <v>100</v>
      </c>
      <c r="K712">
        <v>100</v>
      </c>
      <c r="L712" s="1" t="s">
        <v>1777</v>
      </c>
      <c r="M712" t="s">
        <v>1779</v>
      </c>
      <c r="N712">
        <v>4</v>
      </c>
    </row>
    <row r="713" spans="1:14" x14ac:dyDescent="0.25">
      <c r="A713" s="3" t="str">
        <f>HYPERLINK("http://www.ncbi.nlm.nih.gov/gene/55997","55997")</f>
        <v>55997</v>
      </c>
      <c r="B713" s="1" t="s">
        <v>1780</v>
      </c>
      <c r="C713" t="s">
        <v>1781</v>
      </c>
      <c r="D713">
        <v>119.6</v>
      </c>
      <c r="E713">
        <v>122.7</v>
      </c>
      <c r="F713">
        <v>84.2</v>
      </c>
      <c r="G713">
        <v>74.099999999999994</v>
      </c>
      <c r="H713">
        <v>201.6</v>
      </c>
      <c r="I713">
        <v>210.4</v>
      </c>
      <c r="J713">
        <v>100</v>
      </c>
      <c r="K713">
        <v>100</v>
      </c>
      <c r="L713" s="1" t="s">
        <v>1780</v>
      </c>
      <c r="M713" t="s">
        <v>1782</v>
      </c>
      <c r="N713">
        <v>5</v>
      </c>
    </row>
    <row r="714" spans="1:14" x14ac:dyDescent="0.25">
      <c r="A714" s="3" t="str">
        <f>HYPERLINK("http://www.ncbi.nlm.nih.gov/gene/1675","1675")</f>
        <v>1675</v>
      </c>
      <c r="B714" s="1" t="s">
        <v>1783</v>
      </c>
      <c r="C714" t="s">
        <v>1784</v>
      </c>
      <c r="D714">
        <v>83.9</v>
      </c>
      <c r="E714">
        <v>87.7</v>
      </c>
      <c r="F714">
        <v>89.3</v>
      </c>
      <c r="G714">
        <v>83.7</v>
      </c>
      <c r="H714">
        <v>187.2</v>
      </c>
      <c r="I714">
        <v>193.1</v>
      </c>
      <c r="J714">
        <v>100</v>
      </c>
      <c r="K714">
        <v>100</v>
      </c>
      <c r="L714" s="1" t="s">
        <v>1783</v>
      </c>
      <c r="M714" t="s">
        <v>1097</v>
      </c>
      <c r="N714">
        <v>3</v>
      </c>
    </row>
    <row r="715" spans="1:14" x14ac:dyDescent="0.25">
      <c r="A715" s="3" t="str">
        <f>HYPERLINK("http://www.ncbi.nlm.nih.gov/gene/3075","3075")</f>
        <v>3075</v>
      </c>
      <c r="B715" s="1" t="s">
        <v>1785</v>
      </c>
      <c r="C715" t="s">
        <v>1786</v>
      </c>
      <c r="D715">
        <v>185</v>
      </c>
      <c r="E715">
        <v>194.1</v>
      </c>
      <c r="F715">
        <v>99.9</v>
      </c>
      <c r="G715">
        <v>99</v>
      </c>
      <c r="H715">
        <v>138.30000000000001</v>
      </c>
      <c r="I715">
        <v>144.19999999999999</v>
      </c>
      <c r="J715">
        <v>100</v>
      </c>
      <c r="K715">
        <v>99.9</v>
      </c>
      <c r="L715" s="1" t="s">
        <v>1785</v>
      </c>
      <c r="M715" t="s">
        <v>1787</v>
      </c>
      <c r="N715">
        <v>6</v>
      </c>
    </row>
    <row r="716" spans="1:14" x14ac:dyDescent="0.25">
      <c r="A716" s="3" t="str">
        <f>HYPERLINK("http://www.ncbi.nlm.nih.gov/gene/3078","3078")</f>
        <v>3078</v>
      </c>
      <c r="B716" s="1" t="s">
        <v>1788</v>
      </c>
      <c r="C716" t="s">
        <v>1789</v>
      </c>
      <c r="D716">
        <v>193.9</v>
      </c>
      <c r="E716">
        <v>201.6</v>
      </c>
      <c r="F716">
        <v>96.4</v>
      </c>
      <c r="G716">
        <v>94.9</v>
      </c>
      <c r="H716">
        <v>143.19999999999999</v>
      </c>
      <c r="I716">
        <v>149.1</v>
      </c>
      <c r="J716">
        <v>95.4</v>
      </c>
      <c r="K716">
        <v>93.8</v>
      </c>
      <c r="L716" s="1" t="s">
        <v>1788</v>
      </c>
      <c r="M716" t="s">
        <v>1790</v>
      </c>
      <c r="N716">
        <v>4</v>
      </c>
    </row>
    <row r="717" spans="1:14" x14ac:dyDescent="0.25">
      <c r="A717" s="3" t="str">
        <f>HYPERLINK("http://www.ncbi.nlm.nih.gov/gene/3080","3080")</f>
        <v>3080</v>
      </c>
      <c r="B717" s="1" t="s">
        <v>1791</v>
      </c>
      <c r="C717" t="s">
        <v>1792</v>
      </c>
      <c r="D717">
        <v>112.4</v>
      </c>
      <c r="E717">
        <v>116.7</v>
      </c>
      <c r="F717">
        <v>76</v>
      </c>
      <c r="G717">
        <v>74.3</v>
      </c>
      <c r="H717">
        <v>124.9</v>
      </c>
      <c r="I717">
        <v>130.9</v>
      </c>
      <c r="J717">
        <v>76.5</v>
      </c>
      <c r="K717">
        <v>76.099999999999994</v>
      </c>
      <c r="L717" s="1" t="s">
        <v>1791</v>
      </c>
      <c r="M717" t="s">
        <v>502</v>
      </c>
      <c r="N717">
        <v>2</v>
      </c>
    </row>
    <row r="718" spans="1:14" x14ac:dyDescent="0.25">
      <c r="A718" s="3" t="str">
        <f>HYPERLINK("http://www.ncbi.nlm.nih.gov/gene/10878","10878")</f>
        <v>10878</v>
      </c>
      <c r="B718" s="1" t="s">
        <v>1793</v>
      </c>
      <c r="C718" t="s">
        <v>1794</v>
      </c>
      <c r="D718">
        <v>113.2</v>
      </c>
      <c r="E718">
        <v>111.8</v>
      </c>
      <c r="F718">
        <v>94</v>
      </c>
      <c r="G718">
        <v>92.2</v>
      </c>
      <c r="H718">
        <v>114.9</v>
      </c>
      <c r="I718">
        <v>120.2</v>
      </c>
      <c r="J718">
        <v>96</v>
      </c>
      <c r="K718">
        <v>95.2</v>
      </c>
      <c r="L718" s="1" t="s">
        <v>1793</v>
      </c>
      <c r="M718" t="s">
        <v>1790</v>
      </c>
      <c r="N718">
        <v>4</v>
      </c>
    </row>
    <row r="719" spans="1:14" x14ac:dyDescent="0.25">
      <c r="A719" s="3" t="str">
        <f>HYPERLINK("http://www.ncbi.nlm.nih.gov/gene/10877","10877")</f>
        <v>10877</v>
      </c>
      <c r="B719" s="1" t="s">
        <v>1795</v>
      </c>
      <c r="C719" t="s">
        <v>1796</v>
      </c>
      <c r="D719">
        <v>148.19999999999999</v>
      </c>
      <c r="E719">
        <v>152.1</v>
      </c>
      <c r="F719">
        <v>100</v>
      </c>
      <c r="G719">
        <v>99.9</v>
      </c>
      <c r="H719">
        <v>150.6</v>
      </c>
      <c r="I719">
        <v>157.69999999999999</v>
      </c>
      <c r="J719">
        <v>100</v>
      </c>
      <c r="K719">
        <v>100</v>
      </c>
      <c r="L719" s="1" t="s">
        <v>1795</v>
      </c>
      <c r="M719" t="s">
        <v>502</v>
      </c>
      <c r="N719">
        <v>2</v>
      </c>
    </row>
    <row r="720" spans="1:14" x14ac:dyDescent="0.25">
      <c r="A720" s="3" t="str">
        <f>HYPERLINK("http://www.ncbi.nlm.nih.gov/gene/81494","81494")</f>
        <v>81494</v>
      </c>
      <c r="B720" s="1" t="s">
        <v>1797</v>
      </c>
      <c r="C720" t="s">
        <v>1798</v>
      </c>
      <c r="D720">
        <v>110.4</v>
      </c>
      <c r="E720">
        <v>115.2</v>
      </c>
      <c r="F720">
        <v>99.6</v>
      </c>
      <c r="G720">
        <v>98.4</v>
      </c>
      <c r="H720">
        <v>135.5</v>
      </c>
      <c r="I720">
        <v>141</v>
      </c>
      <c r="J720">
        <v>100</v>
      </c>
      <c r="K720">
        <v>100</v>
      </c>
      <c r="L720" s="1" t="s">
        <v>1797</v>
      </c>
      <c r="M720" t="s">
        <v>562</v>
      </c>
      <c r="N720">
        <v>2</v>
      </c>
    </row>
    <row r="721" spans="1:14" x14ac:dyDescent="0.25">
      <c r="A721" s="3" t="str">
        <f>HYPERLINK("http://www.ncbi.nlm.nih.gov/gene/3426","3426")</f>
        <v>3426</v>
      </c>
      <c r="B721" s="1" t="s">
        <v>1799</v>
      </c>
      <c r="C721" t="s">
        <v>1800</v>
      </c>
      <c r="D721">
        <v>164</v>
      </c>
      <c r="E721">
        <v>169.4</v>
      </c>
      <c r="F721">
        <v>99.2</v>
      </c>
      <c r="G721">
        <v>96.8</v>
      </c>
      <c r="H721">
        <v>137.19999999999999</v>
      </c>
      <c r="I721">
        <v>141.1</v>
      </c>
      <c r="J721">
        <v>100</v>
      </c>
      <c r="K721">
        <v>100</v>
      </c>
      <c r="L721" s="1" t="s">
        <v>1799</v>
      </c>
      <c r="M721" t="s">
        <v>1801</v>
      </c>
      <c r="N721">
        <v>5</v>
      </c>
    </row>
    <row r="722" spans="1:14" x14ac:dyDescent="0.25">
      <c r="A722" s="3" t="str">
        <f>HYPERLINK("http://www.ncbi.nlm.nih.gov/gene/1073","1073")</f>
        <v>1073</v>
      </c>
      <c r="B722" s="1" t="s">
        <v>1802</v>
      </c>
      <c r="C722" t="s">
        <v>1803</v>
      </c>
      <c r="D722">
        <v>155.80000000000001</v>
      </c>
      <c r="E722">
        <v>167.1</v>
      </c>
      <c r="F722">
        <v>100</v>
      </c>
      <c r="G722">
        <v>99.6</v>
      </c>
      <c r="H722">
        <v>130</v>
      </c>
      <c r="I722">
        <v>131.9</v>
      </c>
      <c r="J722">
        <v>100</v>
      </c>
      <c r="K722">
        <v>100</v>
      </c>
      <c r="L722" s="1" t="s">
        <v>1802</v>
      </c>
      <c r="M722" t="s">
        <v>1804</v>
      </c>
      <c r="N722">
        <v>3</v>
      </c>
    </row>
    <row r="723" spans="1:14" x14ac:dyDescent="0.25">
      <c r="A723" s="3" t="str">
        <f>HYPERLINK("http://www.ncbi.nlm.nih.gov/gene/5199","5199")</f>
        <v>5199</v>
      </c>
      <c r="B723" s="1" t="s">
        <v>1805</v>
      </c>
      <c r="C723" t="s">
        <v>1806</v>
      </c>
      <c r="D723">
        <v>102.4</v>
      </c>
      <c r="E723">
        <v>108.8</v>
      </c>
      <c r="F723">
        <v>100</v>
      </c>
      <c r="G723">
        <v>99</v>
      </c>
      <c r="H723">
        <v>150.69999999999999</v>
      </c>
      <c r="I723">
        <v>154.69999999999999</v>
      </c>
      <c r="J723">
        <v>100</v>
      </c>
      <c r="K723">
        <v>100</v>
      </c>
      <c r="L723" s="1" t="s">
        <v>1805</v>
      </c>
      <c r="M723" t="s">
        <v>1576</v>
      </c>
      <c r="N723">
        <v>2</v>
      </c>
    </row>
    <row r="724" spans="1:14" x14ac:dyDescent="0.25">
      <c r="A724" s="3" t="str">
        <f>HYPERLINK("http://www.ncbi.nlm.nih.gov/gene/1080","1080")</f>
        <v>1080</v>
      </c>
      <c r="B724" s="1" t="s">
        <v>1807</v>
      </c>
      <c r="C724" t="s">
        <v>1808</v>
      </c>
      <c r="D724">
        <v>135.9</v>
      </c>
      <c r="E724">
        <v>140.6</v>
      </c>
      <c r="F724">
        <v>99.6</v>
      </c>
      <c r="G724">
        <v>97.9</v>
      </c>
      <c r="H724">
        <v>126.3</v>
      </c>
      <c r="I724">
        <v>130.5</v>
      </c>
      <c r="J724">
        <v>100</v>
      </c>
      <c r="K724">
        <v>100</v>
      </c>
      <c r="L724" s="1" t="s">
        <v>1807</v>
      </c>
      <c r="M724" t="s">
        <v>1809</v>
      </c>
      <c r="N724">
        <v>5</v>
      </c>
    </row>
    <row r="725" spans="1:14" x14ac:dyDescent="0.25">
      <c r="A725" s="3" t="str">
        <f>HYPERLINK("http://www.ncbi.nlm.nih.gov/gene/283489","283489")</f>
        <v>283489</v>
      </c>
      <c r="B725" s="1" t="s">
        <v>1810</v>
      </c>
      <c r="C725" t="s">
        <v>1811</v>
      </c>
      <c r="D725">
        <v>219.8</v>
      </c>
      <c r="E725">
        <v>200.3</v>
      </c>
      <c r="F725">
        <v>100</v>
      </c>
      <c r="G725">
        <v>100</v>
      </c>
      <c r="H725">
        <v>157.1</v>
      </c>
      <c r="I725">
        <v>160.80000000000001</v>
      </c>
      <c r="J725">
        <v>100</v>
      </c>
      <c r="K725">
        <v>100</v>
      </c>
      <c r="L725" s="1" t="s">
        <v>1810</v>
      </c>
      <c r="M725" t="s">
        <v>189</v>
      </c>
      <c r="N725">
        <v>2</v>
      </c>
    </row>
    <row r="726" spans="1:14" x14ac:dyDescent="0.25">
      <c r="A726" s="3" t="str">
        <f>HYPERLINK("http://www.ncbi.nlm.nih.gov/gene/1103","1103")</f>
        <v>1103</v>
      </c>
      <c r="B726" s="1" t="s">
        <v>1812</v>
      </c>
      <c r="C726" t="s">
        <v>1813</v>
      </c>
      <c r="D726">
        <v>120.7</v>
      </c>
      <c r="E726">
        <v>127.1</v>
      </c>
      <c r="F726">
        <v>93.5</v>
      </c>
      <c r="G726">
        <v>85.7</v>
      </c>
      <c r="H726">
        <v>133.9</v>
      </c>
      <c r="I726">
        <v>137.1</v>
      </c>
      <c r="J726">
        <v>100</v>
      </c>
      <c r="K726">
        <v>100</v>
      </c>
      <c r="L726" s="1" t="s">
        <v>1812</v>
      </c>
      <c r="M726" t="s">
        <v>1147</v>
      </c>
      <c r="N726">
        <v>4</v>
      </c>
    </row>
    <row r="727" spans="1:14" x14ac:dyDescent="0.25">
      <c r="A727" s="3" t="str">
        <f>HYPERLINK("http://www.ncbi.nlm.nih.gov/gene/400916","400916")</f>
        <v>400916</v>
      </c>
      <c r="B727" s="1" t="s">
        <v>1814</v>
      </c>
      <c r="C727" t="s">
        <v>1815</v>
      </c>
      <c r="D727">
        <v>26.5</v>
      </c>
      <c r="E727">
        <v>25.2</v>
      </c>
      <c r="F727">
        <v>59.1</v>
      </c>
      <c r="G727">
        <v>43.9</v>
      </c>
      <c r="H727">
        <v>141.1</v>
      </c>
      <c r="I727">
        <v>146.9</v>
      </c>
      <c r="J727">
        <v>100</v>
      </c>
      <c r="K727">
        <v>100</v>
      </c>
      <c r="L727" s="1" t="s">
        <v>1814</v>
      </c>
      <c r="M727" t="s">
        <v>1816</v>
      </c>
      <c r="N727">
        <v>5</v>
      </c>
    </row>
    <row r="728" spans="1:14" x14ac:dyDescent="0.25">
      <c r="A728" s="3" t="str">
        <f>HYPERLINK("http://www.ncbi.nlm.nih.gov/gene/51142","51142")</f>
        <v>51142</v>
      </c>
      <c r="B728" s="1" t="s">
        <v>1817</v>
      </c>
      <c r="C728" t="s">
        <v>1818</v>
      </c>
      <c r="D728">
        <v>83.5</v>
      </c>
      <c r="E728">
        <v>76.599999999999994</v>
      </c>
      <c r="F728">
        <v>98.4</v>
      </c>
      <c r="G728">
        <v>83.8</v>
      </c>
      <c r="H728">
        <v>163.9</v>
      </c>
      <c r="I728">
        <v>168.5</v>
      </c>
      <c r="J728">
        <v>100</v>
      </c>
      <c r="K728">
        <v>100</v>
      </c>
      <c r="L728" s="1" t="s">
        <v>1817</v>
      </c>
      <c r="M728" t="s">
        <v>1819</v>
      </c>
      <c r="N728">
        <v>3</v>
      </c>
    </row>
    <row r="729" spans="1:14" x14ac:dyDescent="0.25">
      <c r="A729" s="3" t="str">
        <f>HYPERLINK("http://www.ncbi.nlm.nih.gov/gene/1105","1105")</f>
        <v>1105</v>
      </c>
      <c r="B729" s="1" t="s">
        <v>1820</v>
      </c>
      <c r="C729" t="s">
        <v>1821</v>
      </c>
      <c r="D729">
        <v>132.69999999999999</v>
      </c>
      <c r="E729">
        <v>137.5</v>
      </c>
      <c r="F729">
        <v>99.3</v>
      </c>
      <c r="G729">
        <v>94.9</v>
      </c>
      <c r="H729">
        <v>128.1</v>
      </c>
      <c r="I729">
        <v>131.9</v>
      </c>
      <c r="J729">
        <v>100</v>
      </c>
      <c r="K729">
        <v>100</v>
      </c>
      <c r="L729" s="1" t="s">
        <v>1820</v>
      </c>
      <c r="M729" t="s">
        <v>189</v>
      </c>
      <c r="N729">
        <v>2</v>
      </c>
    </row>
    <row r="730" spans="1:14" x14ac:dyDescent="0.25">
      <c r="A730" s="3" t="str">
        <f>HYPERLINK("http://www.ncbi.nlm.nih.gov/gene/1106","1106")</f>
        <v>1106</v>
      </c>
      <c r="B730" s="1" t="s">
        <v>1822</v>
      </c>
      <c r="C730" t="s">
        <v>1823</v>
      </c>
      <c r="D730">
        <v>144.5</v>
      </c>
      <c r="E730">
        <v>151.30000000000001</v>
      </c>
      <c r="F730">
        <v>99.4</v>
      </c>
      <c r="G730">
        <v>99.2</v>
      </c>
      <c r="H730">
        <v>132.5</v>
      </c>
      <c r="I730">
        <v>136.80000000000001</v>
      </c>
      <c r="J730">
        <v>100</v>
      </c>
      <c r="K730">
        <v>100</v>
      </c>
      <c r="L730" s="1" t="s">
        <v>1822</v>
      </c>
      <c r="M730" t="s">
        <v>995</v>
      </c>
      <c r="N730">
        <v>3</v>
      </c>
    </row>
    <row r="731" spans="1:14" x14ac:dyDescent="0.25">
      <c r="A731" s="3" t="str">
        <f>HYPERLINK("http://www.ncbi.nlm.nih.gov/gene/1107","1107")</f>
        <v>1107</v>
      </c>
      <c r="B731" s="1" t="s">
        <v>1824</v>
      </c>
      <c r="C731" t="s">
        <v>1825</v>
      </c>
      <c r="D731">
        <v>108.8</v>
      </c>
      <c r="E731">
        <v>111.7</v>
      </c>
      <c r="F731">
        <v>94.8</v>
      </c>
      <c r="G731">
        <v>92.6</v>
      </c>
      <c r="H731">
        <v>138.69999999999999</v>
      </c>
      <c r="I731">
        <v>143.9</v>
      </c>
      <c r="J731">
        <v>99.8</v>
      </c>
      <c r="K731">
        <v>99.5</v>
      </c>
      <c r="L731" s="1" t="s">
        <v>1824</v>
      </c>
      <c r="M731" t="s">
        <v>189</v>
      </c>
      <c r="N731">
        <v>2</v>
      </c>
    </row>
    <row r="732" spans="1:14" x14ac:dyDescent="0.25">
      <c r="A732" s="3" t="str">
        <f>HYPERLINK("http://www.ncbi.nlm.nih.gov/gene/1108","1108")</f>
        <v>1108</v>
      </c>
      <c r="B732" s="1" t="s">
        <v>1826</v>
      </c>
      <c r="C732" t="s">
        <v>1827</v>
      </c>
      <c r="D732">
        <v>132.80000000000001</v>
      </c>
      <c r="E732">
        <v>133.9</v>
      </c>
      <c r="F732">
        <v>100</v>
      </c>
      <c r="G732">
        <v>99.9</v>
      </c>
      <c r="H732">
        <v>149.80000000000001</v>
      </c>
      <c r="I732">
        <v>153.9</v>
      </c>
      <c r="J732">
        <v>100</v>
      </c>
      <c r="K732">
        <v>100</v>
      </c>
      <c r="L732" s="1" t="s">
        <v>1826</v>
      </c>
      <c r="M732" t="s">
        <v>189</v>
      </c>
      <c r="N732">
        <v>2</v>
      </c>
    </row>
    <row r="733" spans="1:14" x14ac:dyDescent="0.25">
      <c r="A733" s="3" t="str">
        <f>HYPERLINK("http://www.ncbi.nlm.nih.gov/gene/55636","55636")</f>
        <v>55636</v>
      </c>
      <c r="B733" s="1" t="s">
        <v>1828</v>
      </c>
      <c r="C733" t="s">
        <v>1829</v>
      </c>
      <c r="D733">
        <v>153.6</v>
      </c>
      <c r="E733">
        <v>158.69999999999999</v>
      </c>
      <c r="F733">
        <v>100</v>
      </c>
      <c r="G733">
        <v>99.5</v>
      </c>
      <c r="H733">
        <v>144.69999999999999</v>
      </c>
      <c r="I733">
        <v>147.5</v>
      </c>
      <c r="J733">
        <v>100</v>
      </c>
      <c r="K733">
        <v>100</v>
      </c>
      <c r="L733" s="1" t="s">
        <v>1828</v>
      </c>
      <c r="M733" t="s">
        <v>1830</v>
      </c>
      <c r="N733">
        <v>11</v>
      </c>
    </row>
    <row r="734" spans="1:14" x14ac:dyDescent="0.25">
      <c r="A734" s="3" t="str">
        <f>HYPERLINK("http://www.ncbi.nlm.nih.gov/gene/57680","57680")</f>
        <v>57680</v>
      </c>
      <c r="B734" s="1" t="s">
        <v>1831</v>
      </c>
      <c r="C734" t="s">
        <v>1832</v>
      </c>
      <c r="D734">
        <v>150.5</v>
      </c>
      <c r="E734">
        <v>151.5</v>
      </c>
      <c r="F734">
        <v>100</v>
      </c>
      <c r="G734">
        <v>99.9</v>
      </c>
      <c r="H734">
        <v>147.5</v>
      </c>
      <c r="I734">
        <v>151.4</v>
      </c>
      <c r="J734">
        <v>100</v>
      </c>
      <c r="K734">
        <v>100</v>
      </c>
      <c r="L734" s="1" t="s">
        <v>1831</v>
      </c>
      <c r="M734" t="s">
        <v>1833</v>
      </c>
      <c r="N734">
        <v>3</v>
      </c>
    </row>
    <row r="735" spans="1:14" x14ac:dyDescent="0.25">
      <c r="A735" s="3" t="str">
        <f>HYPERLINK("http://www.ncbi.nlm.nih.gov/gene/11200","11200")</f>
        <v>11200</v>
      </c>
      <c r="B735" s="1" t="s">
        <v>1834</v>
      </c>
      <c r="C735" t="s">
        <v>1835</v>
      </c>
      <c r="D735">
        <v>109.8</v>
      </c>
      <c r="E735">
        <v>112.6</v>
      </c>
      <c r="F735">
        <v>85</v>
      </c>
      <c r="G735">
        <v>81.5</v>
      </c>
      <c r="H735">
        <v>127.7</v>
      </c>
      <c r="I735">
        <v>130.19999999999999</v>
      </c>
      <c r="J735">
        <v>100</v>
      </c>
      <c r="K735">
        <v>100</v>
      </c>
      <c r="L735" s="1" t="s">
        <v>1834</v>
      </c>
      <c r="M735" t="s">
        <v>1836</v>
      </c>
      <c r="N735">
        <v>3</v>
      </c>
    </row>
    <row r="736" spans="1:14" x14ac:dyDescent="0.25">
      <c r="A736" s="3" t="str">
        <f>HYPERLINK("http://www.ncbi.nlm.nih.gov/gene/1118","1118")</f>
        <v>1118</v>
      </c>
      <c r="B736" s="1" t="s">
        <v>1837</v>
      </c>
      <c r="C736" t="s">
        <v>1838</v>
      </c>
      <c r="D736">
        <v>110.4</v>
      </c>
      <c r="E736">
        <v>115.2</v>
      </c>
      <c r="F736">
        <v>99.7</v>
      </c>
      <c r="G736">
        <v>98.1</v>
      </c>
      <c r="H736">
        <v>127.5</v>
      </c>
      <c r="I736">
        <v>131.6</v>
      </c>
      <c r="J736">
        <v>100</v>
      </c>
      <c r="K736">
        <v>100</v>
      </c>
      <c r="L736" s="1" t="s">
        <v>1837</v>
      </c>
      <c r="M736" t="s">
        <v>93</v>
      </c>
      <c r="N736">
        <v>2</v>
      </c>
    </row>
    <row r="737" spans="1:14" x14ac:dyDescent="0.25">
      <c r="A737" s="3" t="str">
        <f>HYPERLINK("http://www.ncbi.nlm.nih.gov/gene/1120","1120")</f>
        <v>1120</v>
      </c>
      <c r="B737" s="1" t="s">
        <v>1839</v>
      </c>
      <c r="C737" t="s">
        <v>1840</v>
      </c>
      <c r="D737">
        <v>110.7</v>
      </c>
      <c r="E737">
        <v>114.9</v>
      </c>
      <c r="F737">
        <v>100</v>
      </c>
      <c r="G737">
        <v>99.7</v>
      </c>
      <c r="H737">
        <v>123.9</v>
      </c>
      <c r="I737">
        <v>126.4</v>
      </c>
      <c r="J737">
        <v>100</v>
      </c>
      <c r="K737">
        <v>100</v>
      </c>
      <c r="L737" s="1" t="s">
        <v>1839</v>
      </c>
      <c r="M737" t="s">
        <v>1841</v>
      </c>
      <c r="N737">
        <v>8</v>
      </c>
    </row>
    <row r="738" spans="1:14" x14ac:dyDescent="0.25">
      <c r="A738" s="3" t="str">
        <f>HYPERLINK("http://www.ncbi.nlm.nih.gov/gene/1121","1121")</f>
        <v>1121</v>
      </c>
      <c r="B738" s="1" t="s">
        <v>1842</v>
      </c>
      <c r="C738" t="s">
        <v>1843</v>
      </c>
      <c r="D738">
        <v>110.2</v>
      </c>
      <c r="E738">
        <v>113.9</v>
      </c>
      <c r="F738">
        <v>98.5</v>
      </c>
      <c r="G738">
        <v>94.5</v>
      </c>
      <c r="H738">
        <v>107.4</v>
      </c>
      <c r="I738">
        <v>110.9</v>
      </c>
      <c r="J738">
        <v>98.8</v>
      </c>
      <c r="K738">
        <v>97.4</v>
      </c>
      <c r="L738" s="1" t="s">
        <v>1842</v>
      </c>
      <c r="M738" t="s">
        <v>772</v>
      </c>
      <c r="N738">
        <v>2</v>
      </c>
    </row>
    <row r="739" spans="1:14" x14ac:dyDescent="0.25">
      <c r="A739" s="3" t="str">
        <f>HYPERLINK("http://www.ncbi.nlm.nih.gov/gene/5119","5119")</f>
        <v>5119</v>
      </c>
      <c r="B739" s="1" t="s">
        <v>1844</v>
      </c>
      <c r="C739" t="s">
        <v>1845</v>
      </c>
      <c r="D739">
        <v>127.9</v>
      </c>
      <c r="E739">
        <v>131.9</v>
      </c>
      <c r="F739">
        <v>100</v>
      </c>
      <c r="G739">
        <v>99.8</v>
      </c>
      <c r="H739">
        <v>138.30000000000001</v>
      </c>
      <c r="I739">
        <v>142.4</v>
      </c>
      <c r="J739">
        <v>100</v>
      </c>
      <c r="K739">
        <v>100</v>
      </c>
      <c r="L739" s="1" t="s">
        <v>1844</v>
      </c>
      <c r="M739" t="s">
        <v>288</v>
      </c>
      <c r="N739">
        <v>4</v>
      </c>
    </row>
    <row r="740" spans="1:14" x14ac:dyDescent="0.25">
      <c r="A740" s="3" t="str">
        <f>HYPERLINK("http://www.ncbi.nlm.nih.gov/gene/25978","25978")</f>
        <v>25978</v>
      </c>
      <c r="B740" s="1" t="s">
        <v>1846</v>
      </c>
      <c r="C740" t="s">
        <v>1847</v>
      </c>
      <c r="D740">
        <v>92.8</v>
      </c>
      <c r="E740">
        <v>94.7</v>
      </c>
      <c r="F740">
        <v>99.7</v>
      </c>
      <c r="G740">
        <v>96.7</v>
      </c>
      <c r="H740">
        <v>106.6</v>
      </c>
      <c r="I740">
        <v>109.1</v>
      </c>
      <c r="J740">
        <v>100</v>
      </c>
      <c r="K740">
        <v>100</v>
      </c>
      <c r="L740" s="1" t="s">
        <v>1846</v>
      </c>
      <c r="M740" t="s">
        <v>1848</v>
      </c>
      <c r="N740">
        <v>3</v>
      </c>
    </row>
    <row r="741" spans="1:14" x14ac:dyDescent="0.25">
      <c r="A741" s="3" t="str">
        <f>HYPERLINK("http://www.ncbi.nlm.nih.gov/gene/128866","128866")</f>
        <v>128866</v>
      </c>
      <c r="B741" s="1" t="s">
        <v>1849</v>
      </c>
      <c r="C741" t="s">
        <v>1850</v>
      </c>
      <c r="D741">
        <v>138.6</v>
      </c>
      <c r="E741">
        <v>147</v>
      </c>
      <c r="F741">
        <v>100</v>
      </c>
      <c r="G741">
        <v>99.3</v>
      </c>
      <c r="H741">
        <v>121.6</v>
      </c>
      <c r="I741">
        <v>125.3</v>
      </c>
      <c r="J741">
        <v>100</v>
      </c>
      <c r="K741">
        <v>100</v>
      </c>
      <c r="L741" s="1" t="s">
        <v>1849</v>
      </c>
      <c r="M741" t="s">
        <v>302</v>
      </c>
      <c r="N741">
        <v>2</v>
      </c>
    </row>
    <row r="742" spans="1:14" x14ac:dyDescent="0.25">
      <c r="A742" s="3" t="str">
        <f>HYPERLINK("http://www.ncbi.nlm.nih.gov/gene/1123","1123")</f>
        <v>1123</v>
      </c>
      <c r="B742" s="1" t="s">
        <v>1851</v>
      </c>
      <c r="C742" t="s">
        <v>1852</v>
      </c>
      <c r="D742">
        <v>182.7</v>
      </c>
      <c r="E742">
        <v>190.9</v>
      </c>
      <c r="F742">
        <v>99.6</v>
      </c>
      <c r="G742">
        <v>98.8</v>
      </c>
      <c r="H742">
        <v>125.5</v>
      </c>
      <c r="I742">
        <v>129.5</v>
      </c>
      <c r="J742">
        <v>97</v>
      </c>
      <c r="K742">
        <v>97</v>
      </c>
      <c r="L742" s="1" t="s">
        <v>1851</v>
      </c>
      <c r="M742" t="s">
        <v>22</v>
      </c>
      <c r="N742">
        <v>1</v>
      </c>
    </row>
    <row r="743" spans="1:14" x14ac:dyDescent="0.25">
      <c r="A743" s="3" t="str">
        <f>HYPERLINK("http://www.ncbi.nlm.nih.gov/gene/11261","11261")</f>
        <v>11261</v>
      </c>
      <c r="B743" s="1" t="s">
        <v>1853</v>
      </c>
      <c r="C743" t="s">
        <v>1854</v>
      </c>
      <c r="D743">
        <v>84</v>
      </c>
      <c r="E743">
        <v>83.4</v>
      </c>
      <c r="F743">
        <v>98.5</v>
      </c>
      <c r="G743">
        <v>89.1</v>
      </c>
      <c r="H743">
        <v>136.80000000000001</v>
      </c>
      <c r="I743">
        <v>139.19999999999999</v>
      </c>
      <c r="J743">
        <v>100</v>
      </c>
      <c r="K743">
        <v>100</v>
      </c>
      <c r="L743" s="1" t="s">
        <v>1853</v>
      </c>
      <c r="M743" t="s">
        <v>53</v>
      </c>
      <c r="N743">
        <v>2</v>
      </c>
    </row>
    <row r="744" spans="1:14" x14ac:dyDescent="0.25">
      <c r="A744" s="3" t="str">
        <f>HYPERLINK("http://www.ncbi.nlm.nih.gov/gene/91851","91851")</f>
        <v>91851</v>
      </c>
      <c r="B744" s="1" t="s">
        <v>1855</v>
      </c>
      <c r="C744" t="s">
        <v>1856</v>
      </c>
      <c r="D744">
        <v>108.8</v>
      </c>
      <c r="E744">
        <v>111.5</v>
      </c>
      <c r="F744">
        <v>100</v>
      </c>
      <c r="G744">
        <v>99.8</v>
      </c>
      <c r="H744">
        <v>129.69999999999999</v>
      </c>
      <c r="I744">
        <v>133.4</v>
      </c>
      <c r="J744">
        <v>100</v>
      </c>
      <c r="K744">
        <v>100</v>
      </c>
      <c r="L744" s="1" t="s">
        <v>1855</v>
      </c>
      <c r="M744" t="s">
        <v>1857</v>
      </c>
      <c r="N744">
        <v>2</v>
      </c>
    </row>
    <row r="745" spans="1:14" x14ac:dyDescent="0.25">
      <c r="A745" s="3" t="str">
        <f>HYPERLINK("http://www.ncbi.nlm.nih.gov/gene/1129","1129")</f>
        <v>1129</v>
      </c>
      <c r="B745" s="1" t="s">
        <v>1858</v>
      </c>
      <c r="C745" t="s">
        <v>1859</v>
      </c>
      <c r="D745">
        <v>166.7</v>
      </c>
      <c r="E745">
        <v>139.80000000000001</v>
      </c>
      <c r="F745">
        <v>100</v>
      </c>
      <c r="G745">
        <v>99.9</v>
      </c>
      <c r="H745">
        <v>161.9</v>
      </c>
      <c r="I745">
        <v>164.6</v>
      </c>
      <c r="J745">
        <v>100</v>
      </c>
      <c r="K745">
        <v>100</v>
      </c>
      <c r="L745" s="1" t="s">
        <v>1858</v>
      </c>
      <c r="M745" t="s">
        <v>197</v>
      </c>
      <c r="N745">
        <v>2</v>
      </c>
    </row>
    <row r="746" spans="1:14" x14ac:dyDescent="0.25">
      <c r="A746" s="3" t="str">
        <f>HYPERLINK("http://www.ncbi.nlm.nih.gov/gene/1131","1131")</f>
        <v>1131</v>
      </c>
      <c r="B746" s="1" t="s">
        <v>1860</v>
      </c>
      <c r="C746" t="s">
        <v>1861</v>
      </c>
      <c r="D746">
        <v>152.6</v>
      </c>
      <c r="E746">
        <v>144.19999999999999</v>
      </c>
      <c r="F746">
        <v>100</v>
      </c>
      <c r="G746">
        <v>100</v>
      </c>
      <c r="H746">
        <v>147.30000000000001</v>
      </c>
      <c r="I746">
        <v>146.69999999999999</v>
      </c>
      <c r="J746">
        <v>100</v>
      </c>
      <c r="K746">
        <v>100</v>
      </c>
      <c r="L746" s="1" t="s">
        <v>1860</v>
      </c>
      <c r="M746" t="s">
        <v>1862</v>
      </c>
      <c r="N746">
        <v>4</v>
      </c>
    </row>
    <row r="747" spans="1:14" x14ac:dyDescent="0.25">
      <c r="A747" s="3" t="str">
        <f>HYPERLINK("http://www.ncbi.nlm.nih.gov/gene/1134","1134")</f>
        <v>1134</v>
      </c>
      <c r="B747" s="1" t="s">
        <v>1863</v>
      </c>
      <c r="C747" t="s">
        <v>1864</v>
      </c>
      <c r="D747">
        <v>115</v>
      </c>
      <c r="E747">
        <v>120.4</v>
      </c>
      <c r="F747">
        <v>100</v>
      </c>
      <c r="G747">
        <v>99.2</v>
      </c>
      <c r="H747">
        <v>132.5</v>
      </c>
      <c r="I747">
        <v>135.80000000000001</v>
      </c>
      <c r="J747">
        <v>100</v>
      </c>
      <c r="K747">
        <v>100</v>
      </c>
      <c r="L747" s="1" t="s">
        <v>1863</v>
      </c>
      <c r="M747" t="s">
        <v>1865</v>
      </c>
      <c r="N747">
        <v>4</v>
      </c>
    </row>
    <row r="748" spans="1:14" x14ac:dyDescent="0.25">
      <c r="A748" s="3" t="str">
        <f>HYPERLINK("http://www.ncbi.nlm.nih.gov/gene/1135","1135")</f>
        <v>1135</v>
      </c>
      <c r="B748" s="1" t="s">
        <v>1866</v>
      </c>
      <c r="D748">
        <v>200.9</v>
      </c>
      <c r="E748">
        <v>185.5</v>
      </c>
      <c r="F748">
        <v>100</v>
      </c>
      <c r="G748">
        <v>100</v>
      </c>
      <c r="H748">
        <v>175.8</v>
      </c>
      <c r="I748">
        <v>177.6</v>
      </c>
      <c r="J748">
        <v>100</v>
      </c>
      <c r="K748">
        <v>100</v>
      </c>
      <c r="L748" s="1" t="s">
        <v>1866</v>
      </c>
      <c r="M748" t="s">
        <v>1867</v>
      </c>
      <c r="N748">
        <v>2</v>
      </c>
    </row>
    <row r="749" spans="1:14" x14ac:dyDescent="0.25">
      <c r="A749" s="3" t="str">
        <f>HYPERLINK("http://www.ncbi.nlm.nih.gov/gene/1136","1136")</f>
        <v>1136</v>
      </c>
      <c r="B749" s="1" t="s">
        <v>1868</v>
      </c>
      <c r="C749" t="s">
        <v>1869</v>
      </c>
      <c r="D749">
        <v>136.1</v>
      </c>
      <c r="E749">
        <v>137.9</v>
      </c>
      <c r="F749">
        <v>100</v>
      </c>
      <c r="G749">
        <v>99.4</v>
      </c>
      <c r="H749">
        <v>159.9</v>
      </c>
      <c r="I749">
        <v>157.30000000000001</v>
      </c>
      <c r="J749">
        <v>100</v>
      </c>
      <c r="K749">
        <v>100</v>
      </c>
      <c r="L749" s="1" t="s">
        <v>1868</v>
      </c>
      <c r="M749" t="s">
        <v>1870</v>
      </c>
      <c r="N749">
        <v>3</v>
      </c>
    </row>
    <row r="750" spans="1:14" x14ac:dyDescent="0.25">
      <c r="A750" s="3" t="str">
        <f>HYPERLINK("http://www.ncbi.nlm.nih.gov/gene/1137","1137")</f>
        <v>1137</v>
      </c>
      <c r="B750" s="1" t="s">
        <v>1871</v>
      </c>
      <c r="C750" t="s">
        <v>1872</v>
      </c>
      <c r="D750">
        <v>137.19999999999999</v>
      </c>
      <c r="E750">
        <v>108.8</v>
      </c>
      <c r="F750">
        <v>98.3</v>
      </c>
      <c r="G750">
        <v>96.2</v>
      </c>
      <c r="H750">
        <v>164.7</v>
      </c>
      <c r="I750">
        <v>168.2</v>
      </c>
      <c r="J750">
        <v>100</v>
      </c>
      <c r="K750">
        <v>100</v>
      </c>
      <c r="L750" s="1" t="s">
        <v>1871</v>
      </c>
      <c r="M750" t="s">
        <v>995</v>
      </c>
      <c r="N750">
        <v>3</v>
      </c>
    </row>
    <row r="751" spans="1:14" x14ac:dyDescent="0.25">
      <c r="A751" s="3" t="str">
        <f>HYPERLINK("http://www.ncbi.nlm.nih.gov/gene/1140","1140")</f>
        <v>1140</v>
      </c>
      <c r="B751" s="1" t="s">
        <v>1873</v>
      </c>
      <c r="C751" t="s">
        <v>1874</v>
      </c>
      <c r="D751">
        <v>155.30000000000001</v>
      </c>
      <c r="E751">
        <v>163</v>
      </c>
      <c r="F751">
        <v>100</v>
      </c>
      <c r="G751">
        <v>99.4</v>
      </c>
      <c r="H751">
        <v>150.6</v>
      </c>
      <c r="I751">
        <v>154.6</v>
      </c>
      <c r="J751">
        <v>100</v>
      </c>
      <c r="K751">
        <v>100</v>
      </c>
      <c r="L751" s="1" t="s">
        <v>1873</v>
      </c>
      <c r="M751" t="s">
        <v>1865</v>
      </c>
      <c r="N751">
        <v>4</v>
      </c>
    </row>
    <row r="752" spans="1:14" x14ac:dyDescent="0.25">
      <c r="A752" s="3" t="str">
        <f>HYPERLINK("http://www.ncbi.nlm.nih.gov/gene/1141","1141")</f>
        <v>1141</v>
      </c>
      <c r="B752" s="1" t="s">
        <v>1875</v>
      </c>
      <c r="C752" t="s">
        <v>1876</v>
      </c>
      <c r="D752">
        <v>131.4</v>
      </c>
      <c r="E752">
        <v>137</v>
      </c>
      <c r="F752">
        <v>99.3</v>
      </c>
      <c r="G752">
        <v>96</v>
      </c>
      <c r="H752">
        <v>151.69999999999999</v>
      </c>
      <c r="I752">
        <v>153.6</v>
      </c>
      <c r="J752">
        <v>100</v>
      </c>
      <c r="K752">
        <v>100</v>
      </c>
      <c r="L752" s="1" t="s">
        <v>1875</v>
      </c>
      <c r="M752" t="s">
        <v>1877</v>
      </c>
      <c r="N752">
        <v>2</v>
      </c>
    </row>
    <row r="753" spans="1:14" x14ac:dyDescent="0.25">
      <c r="A753" s="3" t="str">
        <f>HYPERLINK("http://www.ncbi.nlm.nih.gov/gene/1144","1144")</f>
        <v>1144</v>
      </c>
      <c r="B753" s="1" t="s">
        <v>1878</v>
      </c>
      <c r="C753" t="s">
        <v>1879</v>
      </c>
      <c r="D753">
        <v>152.9</v>
      </c>
      <c r="E753">
        <v>158.80000000000001</v>
      </c>
      <c r="F753">
        <v>99.7</v>
      </c>
      <c r="G753">
        <v>97.9</v>
      </c>
      <c r="H753">
        <v>158.5</v>
      </c>
      <c r="I753">
        <v>163.80000000000001</v>
      </c>
      <c r="J753">
        <v>100</v>
      </c>
      <c r="K753">
        <v>100</v>
      </c>
      <c r="L753" s="1" t="s">
        <v>1878</v>
      </c>
      <c r="M753" t="s">
        <v>1865</v>
      </c>
      <c r="N753">
        <v>4</v>
      </c>
    </row>
    <row r="754" spans="1:14" x14ac:dyDescent="0.25">
      <c r="A754" s="3" t="str">
        <f>HYPERLINK("http://www.ncbi.nlm.nih.gov/gene/1145","1145")</f>
        <v>1145</v>
      </c>
      <c r="B754" s="1" t="s">
        <v>1880</v>
      </c>
      <c r="C754" t="s">
        <v>1881</v>
      </c>
      <c r="D754">
        <v>152.19999999999999</v>
      </c>
      <c r="E754">
        <v>156.9</v>
      </c>
      <c r="F754">
        <v>100</v>
      </c>
      <c r="G754">
        <v>100</v>
      </c>
      <c r="H754">
        <v>125.6</v>
      </c>
      <c r="I754">
        <v>125.9</v>
      </c>
      <c r="J754">
        <v>100</v>
      </c>
      <c r="K754">
        <v>100</v>
      </c>
      <c r="L754" s="1" t="s">
        <v>1880</v>
      </c>
      <c r="M754" t="s">
        <v>1865</v>
      </c>
      <c r="N754">
        <v>4</v>
      </c>
    </row>
    <row r="755" spans="1:14" x14ac:dyDescent="0.25">
      <c r="A755" s="3" t="str">
        <f>HYPERLINK("http://www.ncbi.nlm.nih.gov/gene/1146","1146")</f>
        <v>1146</v>
      </c>
      <c r="B755" s="1" t="s">
        <v>1882</v>
      </c>
      <c r="C755" t="s">
        <v>1883</v>
      </c>
      <c r="D755">
        <v>143.4</v>
      </c>
      <c r="E755">
        <v>149.9</v>
      </c>
      <c r="F755">
        <v>100</v>
      </c>
      <c r="G755">
        <v>100</v>
      </c>
      <c r="H755">
        <v>157</v>
      </c>
      <c r="I755">
        <v>160.9</v>
      </c>
      <c r="J755">
        <v>100</v>
      </c>
      <c r="K755">
        <v>100</v>
      </c>
      <c r="L755" s="1" t="s">
        <v>1882</v>
      </c>
      <c r="M755" t="s">
        <v>1884</v>
      </c>
      <c r="N755">
        <v>5</v>
      </c>
    </row>
    <row r="756" spans="1:14" x14ac:dyDescent="0.25">
      <c r="A756" s="3" t="str">
        <f>HYPERLINK("http://www.ncbi.nlm.nih.gov/gene/50515","50515")</f>
        <v>50515</v>
      </c>
      <c r="B756" s="1" t="s">
        <v>1885</v>
      </c>
      <c r="C756" t="s">
        <v>1886</v>
      </c>
      <c r="D756">
        <v>270</v>
      </c>
      <c r="E756">
        <v>234.3</v>
      </c>
      <c r="F756">
        <v>100</v>
      </c>
      <c r="G756">
        <v>100</v>
      </c>
      <c r="H756">
        <v>155</v>
      </c>
      <c r="I756">
        <v>153</v>
      </c>
      <c r="J756">
        <v>100</v>
      </c>
      <c r="K756">
        <v>100</v>
      </c>
      <c r="L756" s="1" t="s">
        <v>1885</v>
      </c>
      <c r="M756" t="s">
        <v>1168</v>
      </c>
      <c r="N756">
        <v>3</v>
      </c>
    </row>
    <row r="757" spans="1:14" x14ac:dyDescent="0.25">
      <c r="A757" s="3" t="str">
        <f>HYPERLINK("http://www.ncbi.nlm.nih.gov/gene/113189","113189")</f>
        <v>113189</v>
      </c>
      <c r="B757" s="1" t="s">
        <v>1887</v>
      </c>
      <c r="C757" t="s">
        <v>1888</v>
      </c>
      <c r="D757">
        <v>143.80000000000001</v>
      </c>
      <c r="E757">
        <v>147.4</v>
      </c>
      <c r="F757">
        <v>99.9</v>
      </c>
      <c r="G757">
        <v>98.9</v>
      </c>
      <c r="H757">
        <v>152.19999999999999</v>
      </c>
      <c r="I757">
        <v>155.4</v>
      </c>
      <c r="J757">
        <v>100</v>
      </c>
      <c r="K757">
        <v>100</v>
      </c>
      <c r="L757" s="1" t="s">
        <v>1887</v>
      </c>
      <c r="M757" t="s">
        <v>1889</v>
      </c>
      <c r="N757">
        <v>8</v>
      </c>
    </row>
    <row r="758" spans="1:14" x14ac:dyDescent="0.25">
      <c r="A758" s="3" t="str">
        <f>HYPERLINK("http://www.ncbi.nlm.nih.gov/gene/9469","9469")</f>
        <v>9469</v>
      </c>
      <c r="B758" s="1" t="s">
        <v>1890</v>
      </c>
      <c r="C758" t="s">
        <v>1891</v>
      </c>
      <c r="D758">
        <v>138.69999999999999</v>
      </c>
      <c r="E758">
        <v>113.4</v>
      </c>
      <c r="F758">
        <v>100</v>
      </c>
      <c r="G758">
        <v>99.4</v>
      </c>
      <c r="H758">
        <v>136.6</v>
      </c>
      <c r="I758">
        <v>135.80000000000001</v>
      </c>
      <c r="J758">
        <v>100</v>
      </c>
      <c r="K758">
        <v>100</v>
      </c>
      <c r="L758" s="1" t="s">
        <v>1890</v>
      </c>
      <c r="M758" t="s">
        <v>351</v>
      </c>
      <c r="N758">
        <v>4</v>
      </c>
    </row>
    <row r="759" spans="1:14" x14ac:dyDescent="0.25">
      <c r="A759" s="3" t="str">
        <f>HYPERLINK("http://www.ncbi.nlm.nih.gov/gene/4166","4166")</f>
        <v>4166</v>
      </c>
      <c r="B759" s="1" t="s">
        <v>1892</v>
      </c>
      <c r="C759" t="s">
        <v>1893</v>
      </c>
      <c r="D759">
        <v>201.3</v>
      </c>
      <c r="E759">
        <v>197.7</v>
      </c>
      <c r="F759">
        <v>100</v>
      </c>
      <c r="G759">
        <v>100</v>
      </c>
      <c r="H759">
        <v>188.1</v>
      </c>
      <c r="I759">
        <v>189.4</v>
      </c>
      <c r="J759">
        <v>100</v>
      </c>
      <c r="K759">
        <v>100</v>
      </c>
      <c r="L759" s="1" t="s">
        <v>1892</v>
      </c>
      <c r="M759" t="s">
        <v>436</v>
      </c>
      <c r="N759">
        <v>4</v>
      </c>
    </row>
    <row r="760" spans="1:14" x14ac:dyDescent="0.25">
      <c r="A760" s="3" t="str">
        <f>HYPERLINK("http://www.ncbi.nlm.nih.gov/gene/64377","64377")</f>
        <v>64377</v>
      </c>
      <c r="B760" s="1" t="s">
        <v>1894</v>
      </c>
      <c r="C760" t="s">
        <v>1895</v>
      </c>
      <c r="D760">
        <v>247.5</v>
      </c>
      <c r="E760">
        <v>250.3</v>
      </c>
      <c r="F760">
        <v>100</v>
      </c>
      <c r="G760">
        <v>100</v>
      </c>
      <c r="H760">
        <v>168.6</v>
      </c>
      <c r="I760">
        <v>168.4</v>
      </c>
      <c r="J760">
        <v>100</v>
      </c>
      <c r="K760">
        <v>100</v>
      </c>
      <c r="L760" s="1" t="s">
        <v>1894</v>
      </c>
      <c r="M760" t="s">
        <v>53</v>
      </c>
      <c r="N760">
        <v>2</v>
      </c>
    </row>
    <row r="761" spans="1:14" x14ac:dyDescent="0.25">
      <c r="A761" s="3" t="str">
        <f>HYPERLINK("http://www.ncbi.nlm.nih.gov/gene/22856","22856")</f>
        <v>22856</v>
      </c>
      <c r="B761" s="1" t="s">
        <v>1896</v>
      </c>
      <c r="C761" t="s">
        <v>1897</v>
      </c>
      <c r="D761">
        <v>156.19999999999999</v>
      </c>
      <c r="E761">
        <v>147.1</v>
      </c>
      <c r="F761">
        <v>97.2</v>
      </c>
      <c r="G761">
        <v>95.7</v>
      </c>
      <c r="H761">
        <v>152.6</v>
      </c>
      <c r="I761">
        <v>152</v>
      </c>
      <c r="J761">
        <v>99.7</v>
      </c>
      <c r="K761">
        <v>98</v>
      </c>
      <c r="L761" s="1" t="s">
        <v>1896</v>
      </c>
      <c r="M761" t="s">
        <v>1898</v>
      </c>
      <c r="N761">
        <v>6</v>
      </c>
    </row>
    <row r="762" spans="1:14" x14ac:dyDescent="0.25">
      <c r="A762" s="3" t="str">
        <f>HYPERLINK("http://www.ncbi.nlm.nih.gov/gene/1147","1147")</f>
        <v>1147</v>
      </c>
      <c r="B762" s="1" t="s">
        <v>1899</v>
      </c>
      <c r="C762" t="s">
        <v>1900</v>
      </c>
      <c r="D762">
        <v>151.1</v>
      </c>
      <c r="E762">
        <v>155.6</v>
      </c>
      <c r="F762">
        <v>100</v>
      </c>
      <c r="G762">
        <v>99.1</v>
      </c>
      <c r="H762">
        <v>126.9</v>
      </c>
      <c r="I762">
        <v>130.5</v>
      </c>
      <c r="J762">
        <v>100</v>
      </c>
      <c r="K762">
        <v>100</v>
      </c>
      <c r="L762" s="1" t="s">
        <v>1899</v>
      </c>
      <c r="M762" t="s">
        <v>1901</v>
      </c>
      <c r="N762">
        <v>3</v>
      </c>
    </row>
    <row r="763" spans="1:14" x14ac:dyDescent="0.25">
      <c r="A763" s="3" t="str">
        <f>HYPERLINK("http://www.ncbi.nlm.nih.gov/gene/10519","10519")</f>
        <v>10519</v>
      </c>
      <c r="B763" s="1" t="s">
        <v>1902</v>
      </c>
      <c r="C763" t="s">
        <v>1903</v>
      </c>
      <c r="D763">
        <v>132.19999999999999</v>
      </c>
      <c r="E763">
        <v>131.30000000000001</v>
      </c>
      <c r="F763">
        <v>97.3</v>
      </c>
      <c r="G763">
        <v>93.6</v>
      </c>
      <c r="H763">
        <v>126.8</v>
      </c>
      <c r="I763">
        <v>130.80000000000001</v>
      </c>
      <c r="J763">
        <v>100</v>
      </c>
      <c r="K763">
        <v>100</v>
      </c>
      <c r="L763" s="1" t="s">
        <v>1902</v>
      </c>
      <c r="M763" t="s">
        <v>1420</v>
      </c>
      <c r="N763">
        <v>3</v>
      </c>
    </row>
    <row r="764" spans="1:14" x14ac:dyDescent="0.25">
      <c r="A764" s="3" t="str">
        <f>HYPERLINK("http://www.ncbi.nlm.nih.gov/gene/10518","10518")</f>
        <v>10518</v>
      </c>
      <c r="B764" s="1" t="s">
        <v>1904</v>
      </c>
      <c r="C764" t="s">
        <v>1905</v>
      </c>
      <c r="D764">
        <v>195.6</v>
      </c>
      <c r="E764">
        <v>203.3</v>
      </c>
      <c r="F764">
        <v>99.7</v>
      </c>
      <c r="G764">
        <v>97</v>
      </c>
      <c r="H764">
        <v>150.1</v>
      </c>
      <c r="I764">
        <v>156.4</v>
      </c>
      <c r="J764">
        <v>100</v>
      </c>
      <c r="K764">
        <v>99.9</v>
      </c>
      <c r="L764" s="1" t="s">
        <v>1904</v>
      </c>
      <c r="M764" t="s">
        <v>780</v>
      </c>
      <c r="N764">
        <v>4</v>
      </c>
    </row>
    <row r="765" spans="1:14" x14ac:dyDescent="0.25">
      <c r="A765" s="3" t="str">
        <f>HYPERLINK("http://www.ncbi.nlm.nih.gov/gene/137392","137392")</f>
        <v>137392</v>
      </c>
      <c r="B765" s="1" t="s">
        <v>1906</v>
      </c>
      <c r="C765" t="s">
        <v>1907</v>
      </c>
      <c r="D765">
        <v>107.6</v>
      </c>
      <c r="E765">
        <v>98.9</v>
      </c>
      <c r="F765">
        <v>90.6</v>
      </c>
      <c r="G765">
        <v>86</v>
      </c>
      <c r="H765">
        <v>127.4</v>
      </c>
      <c r="I765">
        <v>131.30000000000001</v>
      </c>
      <c r="J765">
        <v>100</v>
      </c>
      <c r="K765">
        <v>100</v>
      </c>
      <c r="L765" s="1" t="s">
        <v>1908</v>
      </c>
      <c r="M765" t="s">
        <v>59</v>
      </c>
      <c r="N765">
        <v>1</v>
      </c>
    </row>
    <row r="766" spans="1:14" x14ac:dyDescent="0.25">
      <c r="A766" s="3" t="str">
        <f>HYPERLINK("http://www.ncbi.nlm.nih.gov/gene/23152","23152")</f>
        <v>23152</v>
      </c>
      <c r="B766" s="1" t="s">
        <v>1909</v>
      </c>
      <c r="C766" t="s">
        <v>1910</v>
      </c>
      <c r="D766">
        <v>77.2</v>
      </c>
      <c r="E766">
        <v>71.599999999999994</v>
      </c>
      <c r="F766">
        <v>63.3</v>
      </c>
      <c r="G766">
        <v>63.3</v>
      </c>
      <c r="H766">
        <v>156.5</v>
      </c>
      <c r="I766">
        <v>156.80000000000001</v>
      </c>
      <c r="J766">
        <v>100</v>
      </c>
      <c r="K766">
        <v>99.9</v>
      </c>
      <c r="L766" s="1" t="s">
        <v>1909</v>
      </c>
      <c r="M766" t="s">
        <v>995</v>
      </c>
      <c r="N766">
        <v>3</v>
      </c>
    </row>
    <row r="767" spans="1:14" x14ac:dyDescent="0.25">
      <c r="A767" s="3" t="str">
        <f>HYPERLINK("http://www.ncbi.nlm.nih.gov/gene/63924","63924")</f>
        <v>63924</v>
      </c>
      <c r="B767" s="1" t="s">
        <v>1911</v>
      </c>
      <c r="C767" t="s">
        <v>1912</v>
      </c>
      <c r="D767">
        <v>90.2</v>
      </c>
      <c r="E767">
        <v>92.3</v>
      </c>
      <c r="F767">
        <v>100</v>
      </c>
      <c r="G767">
        <v>97.9</v>
      </c>
      <c r="H767">
        <v>159.9</v>
      </c>
      <c r="I767">
        <v>164.6</v>
      </c>
      <c r="J767">
        <v>100</v>
      </c>
      <c r="K767">
        <v>100</v>
      </c>
      <c r="L767" s="1" t="s">
        <v>1911</v>
      </c>
      <c r="M767" t="s">
        <v>53</v>
      </c>
      <c r="N767">
        <v>2</v>
      </c>
    </row>
    <row r="768" spans="1:14" x14ac:dyDescent="0.25">
      <c r="A768" s="3" t="str">
        <f>HYPERLINK("http://www.ncbi.nlm.nih.gov/gene/4261","4261")</f>
        <v>4261</v>
      </c>
      <c r="B768" s="1" t="s">
        <v>1913</v>
      </c>
      <c r="C768" t="s">
        <v>1914</v>
      </c>
      <c r="D768">
        <v>159.6</v>
      </c>
      <c r="E768">
        <v>160.19999999999999</v>
      </c>
      <c r="F768">
        <v>100</v>
      </c>
      <c r="G768">
        <v>99.5</v>
      </c>
      <c r="H768">
        <v>140.69999999999999</v>
      </c>
      <c r="I768">
        <v>142.6</v>
      </c>
      <c r="J768">
        <v>100</v>
      </c>
      <c r="K768">
        <v>100</v>
      </c>
      <c r="L768" s="1" t="s">
        <v>1913</v>
      </c>
      <c r="M768" t="s">
        <v>1551</v>
      </c>
      <c r="N768">
        <v>4</v>
      </c>
    </row>
    <row r="769" spans="1:14" x14ac:dyDescent="0.25">
      <c r="A769" s="3" t="str">
        <f>HYPERLINK("http://www.ncbi.nlm.nih.gov/gene/22858","22858")</f>
        <v>22858</v>
      </c>
      <c r="B769" s="1" t="s">
        <v>1915</v>
      </c>
      <c r="C769" t="s">
        <v>1916</v>
      </c>
      <c r="D769">
        <v>129.4</v>
      </c>
      <c r="E769">
        <v>133.5</v>
      </c>
      <c r="F769">
        <v>99.9</v>
      </c>
      <c r="G769">
        <v>98.7</v>
      </c>
      <c r="H769">
        <v>135.19999999999999</v>
      </c>
      <c r="I769">
        <v>138.5</v>
      </c>
      <c r="J769">
        <v>100</v>
      </c>
      <c r="K769">
        <v>100</v>
      </c>
      <c r="L769" s="1" t="s">
        <v>1915</v>
      </c>
      <c r="M769" t="s">
        <v>1917</v>
      </c>
      <c r="N769">
        <v>5</v>
      </c>
    </row>
    <row r="770" spans="1:14" x14ac:dyDescent="0.25">
      <c r="A770" s="3" t="str">
        <f>HYPERLINK("http://www.ncbi.nlm.nih.gov/gene/493856","493856")</f>
        <v>493856</v>
      </c>
      <c r="B770" s="1" t="s">
        <v>1918</v>
      </c>
      <c r="C770" t="s">
        <v>1919</v>
      </c>
      <c r="D770">
        <v>122.9</v>
      </c>
      <c r="E770">
        <v>135.4</v>
      </c>
      <c r="F770">
        <v>83.4</v>
      </c>
      <c r="G770">
        <v>83.4</v>
      </c>
      <c r="H770">
        <v>115.7</v>
      </c>
      <c r="I770">
        <v>119.2</v>
      </c>
      <c r="J770">
        <v>100</v>
      </c>
      <c r="K770">
        <v>100</v>
      </c>
      <c r="L770" s="1" t="s">
        <v>1918</v>
      </c>
      <c r="M770" t="s">
        <v>1920</v>
      </c>
      <c r="N770">
        <v>5</v>
      </c>
    </row>
    <row r="771" spans="1:14" x14ac:dyDescent="0.25">
      <c r="A771" s="3" t="str">
        <f>HYPERLINK("http://www.ncbi.nlm.nih.gov/gene/11113","11113")</f>
        <v>11113</v>
      </c>
      <c r="B771" s="1" t="s">
        <v>1921</v>
      </c>
      <c r="C771" t="s">
        <v>1922</v>
      </c>
      <c r="D771">
        <v>123.4</v>
      </c>
      <c r="E771">
        <v>127.8</v>
      </c>
      <c r="F771">
        <v>100</v>
      </c>
      <c r="G771">
        <v>99.4</v>
      </c>
      <c r="H771">
        <v>134.1</v>
      </c>
      <c r="I771">
        <v>138.1</v>
      </c>
      <c r="J771">
        <v>100</v>
      </c>
      <c r="K771">
        <v>100</v>
      </c>
      <c r="L771" s="1" t="s">
        <v>1921</v>
      </c>
      <c r="M771" t="s">
        <v>228</v>
      </c>
      <c r="N771">
        <v>3</v>
      </c>
    </row>
    <row r="772" spans="1:14" x14ac:dyDescent="0.25">
      <c r="A772" s="3" t="str">
        <f>HYPERLINK("http://www.ncbi.nlm.nih.gov/gene/10370","10370")</f>
        <v>10370</v>
      </c>
      <c r="B772" s="1" t="s">
        <v>1923</v>
      </c>
      <c r="C772" t="s">
        <v>1924</v>
      </c>
      <c r="D772">
        <v>123.2</v>
      </c>
      <c r="E772">
        <v>111.9</v>
      </c>
      <c r="F772">
        <v>99.2</v>
      </c>
      <c r="G772">
        <v>99</v>
      </c>
      <c r="H772">
        <v>134.80000000000001</v>
      </c>
      <c r="I772">
        <v>136.4</v>
      </c>
      <c r="J772">
        <v>100</v>
      </c>
      <c r="K772">
        <v>100</v>
      </c>
      <c r="L772" s="1" t="s">
        <v>1923</v>
      </c>
      <c r="M772" t="s">
        <v>180</v>
      </c>
      <c r="N772">
        <v>3</v>
      </c>
    </row>
    <row r="773" spans="1:14" x14ac:dyDescent="0.25">
      <c r="A773" s="3" t="str">
        <f>HYPERLINK("http://www.ncbi.nlm.nih.gov/gene/150468","150468")</f>
        <v>150468</v>
      </c>
      <c r="B773" s="1" t="s">
        <v>1925</v>
      </c>
      <c r="D773">
        <v>195.1</v>
      </c>
      <c r="E773">
        <v>194.4</v>
      </c>
      <c r="F773">
        <v>99.7</v>
      </c>
      <c r="G773">
        <v>98.6</v>
      </c>
      <c r="H773">
        <v>144</v>
      </c>
      <c r="I773">
        <v>145.69999999999999</v>
      </c>
      <c r="J773">
        <v>100</v>
      </c>
      <c r="K773">
        <v>100</v>
      </c>
      <c r="L773" s="1" t="s">
        <v>1925</v>
      </c>
      <c r="M773" t="s">
        <v>1926</v>
      </c>
      <c r="N773">
        <v>5</v>
      </c>
    </row>
    <row r="774" spans="1:14" x14ac:dyDescent="0.25">
      <c r="A774" s="3" t="str">
        <f>HYPERLINK("http://www.ncbi.nlm.nih.gov/gene/23155","23155")</f>
        <v>23155</v>
      </c>
      <c r="B774" s="1" t="s">
        <v>1927</v>
      </c>
      <c r="C774" t="s">
        <v>1928</v>
      </c>
      <c r="D774">
        <v>116.1</v>
      </c>
      <c r="E774">
        <v>121.1</v>
      </c>
      <c r="F774">
        <v>99.8</v>
      </c>
      <c r="G774">
        <v>98</v>
      </c>
      <c r="H774">
        <v>140.6</v>
      </c>
      <c r="I774">
        <v>144.80000000000001</v>
      </c>
      <c r="J774">
        <v>100</v>
      </c>
      <c r="K774">
        <v>100</v>
      </c>
      <c r="L774" s="1" t="s">
        <v>1927</v>
      </c>
      <c r="M774" t="s">
        <v>817</v>
      </c>
      <c r="N774">
        <v>2</v>
      </c>
    </row>
    <row r="775" spans="1:14" x14ac:dyDescent="0.25">
      <c r="A775" s="3" t="str">
        <f>HYPERLINK("http://www.ncbi.nlm.nih.gov/gene/23529","23529")</f>
        <v>23529</v>
      </c>
      <c r="B775" s="1" t="s">
        <v>1929</v>
      </c>
      <c r="C775" t="s">
        <v>1930</v>
      </c>
      <c r="D775">
        <v>76</v>
      </c>
      <c r="E775">
        <v>78.2</v>
      </c>
      <c r="F775">
        <v>100</v>
      </c>
      <c r="G775">
        <v>99.4</v>
      </c>
      <c r="H775">
        <v>117.1</v>
      </c>
      <c r="I775">
        <v>119.3</v>
      </c>
      <c r="J775">
        <v>100</v>
      </c>
      <c r="K775">
        <v>100</v>
      </c>
      <c r="L775" s="1" t="s">
        <v>1929</v>
      </c>
      <c r="M775" t="s">
        <v>53</v>
      </c>
      <c r="N775">
        <v>2</v>
      </c>
    </row>
    <row r="776" spans="1:14" x14ac:dyDescent="0.25">
      <c r="A776" s="3" t="str">
        <f>HYPERLINK("http://www.ncbi.nlm.nih.gov/gene/1180","1180")</f>
        <v>1180</v>
      </c>
      <c r="B776" s="1" t="s">
        <v>1931</v>
      </c>
      <c r="C776" t="s">
        <v>1932</v>
      </c>
      <c r="D776">
        <v>138.5</v>
      </c>
      <c r="E776">
        <v>142.19999999999999</v>
      </c>
      <c r="F776">
        <v>100</v>
      </c>
      <c r="G776">
        <v>99.2</v>
      </c>
      <c r="H776">
        <v>146.30000000000001</v>
      </c>
      <c r="I776">
        <v>150.30000000000001</v>
      </c>
      <c r="J776">
        <v>100</v>
      </c>
      <c r="K776">
        <v>100</v>
      </c>
      <c r="L776" s="1" t="s">
        <v>1931</v>
      </c>
      <c r="M776" t="s">
        <v>1933</v>
      </c>
      <c r="N776">
        <v>3</v>
      </c>
    </row>
    <row r="777" spans="1:14" x14ac:dyDescent="0.25">
      <c r="A777" s="3" t="str">
        <f>HYPERLINK("http://www.ncbi.nlm.nih.gov/gene/1181","1181")</f>
        <v>1181</v>
      </c>
      <c r="B777" s="1" t="s">
        <v>1934</v>
      </c>
      <c r="C777" t="s">
        <v>1935</v>
      </c>
      <c r="D777">
        <v>122</v>
      </c>
      <c r="E777">
        <v>124.4</v>
      </c>
      <c r="F777">
        <v>100</v>
      </c>
      <c r="G777">
        <v>99.5</v>
      </c>
      <c r="H777">
        <v>140.9</v>
      </c>
      <c r="I777">
        <v>144.30000000000001</v>
      </c>
      <c r="J777">
        <v>100</v>
      </c>
      <c r="K777">
        <v>100</v>
      </c>
      <c r="L777" s="1" t="s">
        <v>1934</v>
      </c>
      <c r="M777" t="s">
        <v>1936</v>
      </c>
      <c r="N777">
        <v>4</v>
      </c>
    </row>
    <row r="778" spans="1:14" x14ac:dyDescent="0.25">
      <c r="A778" s="3" t="str">
        <f>HYPERLINK("http://www.ncbi.nlm.nih.gov/gene/1183","1183")</f>
        <v>1183</v>
      </c>
      <c r="B778" s="1" t="s">
        <v>1937</v>
      </c>
      <c r="C778" t="s">
        <v>1938</v>
      </c>
      <c r="D778">
        <v>119.6</v>
      </c>
      <c r="E778">
        <v>117.3</v>
      </c>
      <c r="F778">
        <v>99.9</v>
      </c>
      <c r="G778">
        <v>98.9</v>
      </c>
      <c r="H778">
        <v>142.1</v>
      </c>
      <c r="I778">
        <v>146.1</v>
      </c>
      <c r="J778">
        <v>100</v>
      </c>
      <c r="K778">
        <v>100</v>
      </c>
      <c r="L778" s="1" t="s">
        <v>1937</v>
      </c>
      <c r="M778" t="s">
        <v>1939</v>
      </c>
      <c r="N778">
        <v>4</v>
      </c>
    </row>
    <row r="779" spans="1:14" x14ac:dyDescent="0.25">
      <c r="A779" s="3" t="str">
        <f>HYPERLINK("http://www.ncbi.nlm.nih.gov/gene/1184","1184")</f>
        <v>1184</v>
      </c>
      <c r="B779" s="1" t="s">
        <v>1940</v>
      </c>
      <c r="C779" t="s">
        <v>1941</v>
      </c>
      <c r="D779">
        <v>118.7</v>
      </c>
      <c r="E779">
        <v>125.2</v>
      </c>
      <c r="F779">
        <v>99.9</v>
      </c>
      <c r="G779">
        <v>98.3</v>
      </c>
      <c r="H779">
        <v>137.19999999999999</v>
      </c>
      <c r="I779">
        <v>141.30000000000001</v>
      </c>
      <c r="J779">
        <v>100</v>
      </c>
      <c r="K779">
        <v>100</v>
      </c>
      <c r="L779" s="1" t="s">
        <v>1940</v>
      </c>
      <c r="M779" t="s">
        <v>1942</v>
      </c>
      <c r="N779">
        <v>3</v>
      </c>
    </row>
    <row r="780" spans="1:14" x14ac:dyDescent="0.25">
      <c r="A780" s="3" t="str">
        <f>HYPERLINK("http://www.ncbi.nlm.nih.gov/gene/1186","1186")</f>
        <v>1186</v>
      </c>
      <c r="B780" s="1" t="s">
        <v>1943</v>
      </c>
      <c r="C780" t="s">
        <v>1944</v>
      </c>
      <c r="D780">
        <v>135.4</v>
      </c>
      <c r="E780">
        <v>142</v>
      </c>
      <c r="F780">
        <v>99.7</v>
      </c>
      <c r="G780">
        <v>98.4</v>
      </c>
      <c r="H780">
        <v>138.6</v>
      </c>
      <c r="I780">
        <v>142.30000000000001</v>
      </c>
      <c r="J780">
        <v>100</v>
      </c>
      <c r="K780">
        <v>100</v>
      </c>
      <c r="L780" s="1" t="s">
        <v>1943</v>
      </c>
      <c r="M780" t="s">
        <v>1945</v>
      </c>
      <c r="N780">
        <v>5</v>
      </c>
    </row>
    <row r="781" spans="1:14" x14ac:dyDescent="0.25">
      <c r="A781" s="3" t="str">
        <f>HYPERLINK("http://www.ncbi.nlm.nih.gov/gene/1187","1187")</f>
        <v>1187</v>
      </c>
      <c r="B781" s="1" t="s">
        <v>1946</v>
      </c>
      <c r="C781" t="s">
        <v>1947</v>
      </c>
      <c r="D781">
        <v>125.5</v>
      </c>
      <c r="E781">
        <v>124.8</v>
      </c>
      <c r="F781">
        <v>99.8</v>
      </c>
      <c r="G781">
        <v>97.8</v>
      </c>
      <c r="H781">
        <v>155.19999999999999</v>
      </c>
      <c r="I781">
        <v>158.80000000000001</v>
      </c>
      <c r="J781">
        <v>100</v>
      </c>
      <c r="K781">
        <v>100</v>
      </c>
      <c r="L781" s="1" t="s">
        <v>1946</v>
      </c>
      <c r="M781" t="s">
        <v>22</v>
      </c>
      <c r="N781">
        <v>1</v>
      </c>
    </row>
    <row r="782" spans="1:14" x14ac:dyDescent="0.25">
      <c r="A782" s="3" t="str">
        <f>HYPERLINK("http://www.ncbi.nlm.nih.gov/gene/1188","1188")</f>
        <v>1188</v>
      </c>
      <c r="B782" s="1" t="s">
        <v>1948</v>
      </c>
      <c r="C782" t="s">
        <v>1949</v>
      </c>
      <c r="D782">
        <v>109.1</v>
      </c>
      <c r="E782">
        <v>110.1</v>
      </c>
      <c r="F782">
        <v>99.1</v>
      </c>
      <c r="G782">
        <v>95.9</v>
      </c>
      <c r="H782">
        <v>154.30000000000001</v>
      </c>
      <c r="I782">
        <v>156.9</v>
      </c>
      <c r="J782">
        <v>100</v>
      </c>
      <c r="K782">
        <v>100</v>
      </c>
      <c r="L782" s="1" t="s">
        <v>1948</v>
      </c>
      <c r="M782" t="s">
        <v>1950</v>
      </c>
      <c r="N782">
        <v>3</v>
      </c>
    </row>
    <row r="783" spans="1:14" x14ac:dyDescent="0.25">
      <c r="A783" s="3" t="str">
        <f>HYPERLINK("http://www.ncbi.nlm.nih.gov/gene/9076","9076")</f>
        <v>9076</v>
      </c>
      <c r="B783" s="1" t="s">
        <v>1951</v>
      </c>
      <c r="C783" t="s">
        <v>1952</v>
      </c>
      <c r="D783">
        <v>129.5</v>
      </c>
      <c r="E783">
        <v>132</v>
      </c>
      <c r="F783">
        <v>100</v>
      </c>
      <c r="G783">
        <v>100</v>
      </c>
      <c r="H783">
        <v>143.30000000000001</v>
      </c>
      <c r="I783">
        <v>148.19999999999999</v>
      </c>
      <c r="J783">
        <v>100</v>
      </c>
      <c r="K783">
        <v>100</v>
      </c>
      <c r="L783" s="1" t="s">
        <v>1951</v>
      </c>
      <c r="M783" t="s">
        <v>1953</v>
      </c>
      <c r="N783">
        <v>4</v>
      </c>
    </row>
    <row r="784" spans="1:14" x14ac:dyDescent="0.25">
      <c r="A784" s="3" t="str">
        <f>HYPERLINK("http://www.ncbi.nlm.nih.gov/gene/9071","9071")</f>
        <v>9071</v>
      </c>
      <c r="B784" s="1" t="s">
        <v>1954</v>
      </c>
      <c r="C784" t="s">
        <v>1955</v>
      </c>
      <c r="D784">
        <v>150.1</v>
      </c>
      <c r="E784">
        <v>156.6</v>
      </c>
      <c r="F784">
        <v>100</v>
      </c>
      <c r="G784">
        <v>100</v>
      </c>
      <c r="H784">
        <v>163.30000000000001</v>
      </c>
      <c r="I784">
        <v>170.4</v>
      </c>
      <c r="J784">
        <v>100</v>
      </c>
      <c r="K784">
        <v>100</v>
      </c>
      <c r="L784" s="1" t="s">
        <v>1954</v>
      </c>
      <c r="M784" t="s">
        <v>1956</v>
      </c>
      <c r="N784">
        <v>4</v>
      </c>
    </row>
    <row r="785" spans="1:14" x14ac:dyDescent="0.25">
      <c r="A785" s="3" t="str">
        <f>HYPERLINK("http://www.ncbi.nlm.nih.gov/gene/23562","23562")</f>
        <v>23562</v>
      </c>
      <c r="B785" s="1" t="s">
        <v>1957</v>
      </c>
      <c r="C785" t="s">
        <v>1958</v>
      </c>
      <c r="D785">
        <v>98.5</v>
      </c>
      <c r="E785">
        <v>90.1</v>
      </c>
      <c r="F785">
        <v>100</v>
      </c>
      <c r="G785">
        <v>99.7</v>
      </c>
      <c r="H785">
        <v>137.19999999999999</v>
      </c>
      <c r="I785">
        <v>139.19999999999999</v>
      </c>
      <c r="J785">
        <v>100</v>
      </c>
      <c r="K785">
        <v>100</v>
      </c>
      <c r="L785" s="1" t="s">
        <v>1957</v>
      </c>
      <c r="M785" t="s">
        <v>269</v>
      </c>
      <c r="N785">
        <v>3</v>
      </c>
    </row>
    <row r="786" spans="1:14" x14ac:dyDescent="0.25">
      <c r="A786" s="3" t="str">
        <f>HYPERLINK("http://www.ncbi.nlm.nih.gov/gene/10686","10686")</f>
        <v>10686</v>
      </c>
      <c r="B786" s="1" t="s">
        <v>1959</v>
      </c>
      <c r="C786" t="s">
        <v>1960</v>
      </c>
      <c r="D786">
        <v>155.80000000000001</v>
      </c>
      <c r="E786">
        <v>162.9</v>
      </c>
      <c r="F786">
        <v>100</v>
      </c>
      <c r="G786">
        <v>100</v>
      </c>
      <c r="H786">
        <v>152.1</v>
      </c>
      <c r="I786">
        <v>157.80000000000001</v>
      </c>
      <c r="J786">
        <v>100</v>
      </c>
      <c r="K786">
        <v>100</v>
      </c>
      <c r="L786" s="1" t="s">
        <v>1959</v>
      </c>
      <c r="M786" t="s">
        <v>1961</v>
      </c>
      <c r="N786">
        <v>4</v>
      </c>
    </row>
    <row r="787" spans="1:14" x14ac:dyDescent="0.25">
      <c r="A787" s="3" t="str">
        <f>HYPERLINK("http://www.ncbi.nlm.nih.gov/gene/149461","149461")</f>
        <v>149461</v>
      </c>
      <c r="B787" s="1" t="s">
        <v>1962</v>
      </c>
      <c r="C787" t="s">
        <v>1963</v>
      </c>
      <c r="D787">
        <v>123.5</v>
      </c>
      <c r="E787">
        <v>128.4</v>
      </c>
      <c r="F787">
        <v>98.5</v>
      </c>
      <c r="G787">
        <v>93.1</v>
      </c>
      <c r="H787">
        <v>131.69999999999999</v>
      </c>
      <c r="I787">
        <v>135.80000000000001</v>
      </c>
      <c r="J787">
        <v>100</v>
      </c>
      <c r="K787">
        <v>100</v>
      </c>
      <c r="L787" s="1" t="s">
        <v>1962</v>
      </c>
      <c r="M787" t="s">
        <v>1964</v>
      </c>
      <c r="N787">
        <v>5</v>
      </c>
    </row>
    <row r="788" spans="1:14" x14ac:dyDescent="0.25">
      <c r="A788" s="3" t="str">
        <f>HYPERLINK("http://www.ncbi.nlm.nih.gov/gene/9080","9080")</f>
        <v>9080</v>
      </c>
      <c r="B788" s="1" t="s">
        <v>1965</v>
      </c>
      <c r="C788" t="s">
        <v>1966</v>
      </c>
      <c r="D788">
        <v>103.9</v>
      </c>
      <c r="E788">
        <v>111.5</v>
      </c>
      <c r="F788">
        <v>100</v>
      </c>
      <c r="G788">
        <v>100</v>
      </c>
      <c r="H788">
        <v>157.6</v>
      </c>
      <c r="I788">
        <v>147.6</v>
      </c>
      <c r="J788">
        <v>100</v>
      </c>
      <c r="K788">
        <v>100</v>
      </c>
      <c r="L788" s="1" t="s">
        <v>1965</v>
      </c>
      <c r="M788" t="s">
        <v>1120</v>
      </c>
      <c r="N788">
        <v>2</v>
      </c>
    </row>
    <row r="789" spans="1:14" x14ac:dyDescent="0.25">
      <c r="A789" s="3" t="str">
        <f>HYPERLINK("http://www.ncbi.nlm.nih.gov/gene/338339","338339")</f>
        <v>338339</v>
      </c>
      <c r="B789" s="1" t="s">
        <v>1967</v>
      </c>
      <c r="C789" t="s">
        <v>1968</v>
      </c>
      <c r="D789">
        <v>141.69999999999999</v>
      </c>
      <c r="E789">
        <v>144.6</v>
      </c>
      <c r="F789">
        <v>100</v>
      </c>
      <c r="G789">
        <v>99.8</v>
      </c>
      <c r="H789">
        <v>104.8</v>
      </c>
      <c r="I789">
        <v>107.3</v>
      </c>
      <c r="J789">
        <v>100</v>
      </c>
      <c r="K789">
        <v>100</v>
      </c>
      <c r="L789" s="1" t="s">
        <v>1967</v>
      </c>
      <c r="M789" t="s">
        <v>502</v>
      </c>
      <c r="N789">
        <v>2</v>
      </c>
    </row>
    <row r="790" spans="1:14" x14ac:dyDescent="0.25">
      <c r="A790" s="3" t="str">
        <f>HYPERLINK("http://www.ncbi.nlm.nih.gov/gene/64581","64581")</f>
        <v>64581</v>
      </c>
      <c r="B790" s="1" t="s">
        <v>1969</v>
      </c>
      <c r="C790" t="s">
        <v>1970</v>
      </c>
      <c r="D790">
        <v>163.30000000000001</v>
      </c>
      <c r="E790">
        <v>170.5</v>
      </c>
      <c r="F790">
        <v>100</v>
      </c>
      <c r="G790">
        <v>100</v>
      </c>
      <c r="H790">
        <v>164.7</v>
      </c>
      <c r="I790">
        <v>169</v>
      </c>
      <c r="J790">
        <v>100</v>
      </c>
      <c r="K790">
        <v>100</v>
      </c>
      <c r="L790" s="1" t="s">
        <v>1969</v>
      </c>
      <c r="M790" t="s">
        <v>502</v>
      </c>
      <c r="N790">
        <v>2</v>
      </c>
    </row>
    <row r="791" spans="1:14" x14ac:dyDescent="0.25">
      <c r="A791" s="3" t="str">
        <f>HYPERLINK("http://www.ncbi.nlm.nih.gov/gene/1193","1193")</f>
        <v>1193</v>
      </c>
      <c r="B791" s="1" t="s">
        <v>1971</v>
      </c>
      <c r="C791" t="s">
        <v>1972</v>
      </c>
      <c r="D791">
        <v>72.400000000000006</v>
      </c>
      <c r="E791">
        <v>74.3</v>
      </c>
      <c r="F791">
        <v>99.9</v>
      </c>
      <c r="G791">
        <v>96.5</v>
      </c>
      <c r="H791">
        <v>112.6</v>
      </c>
      <c r="I791">
        <v>115.7</v>
      </c>
      <c r="J791">
        <v>100</v>
      </c>
      <c r="K791">
        <v>100</v>
      </c>
      <c r="L791" s="1" t="s">
        <v>1971</v>
      </c>
      <c r="M791" t="s">
        <v>1240</v>
      </c>
      <c r="N791">
        <v>2</v>
      </c>
    </row>
    <row r="792" spans="1:14" x14ac:dyDescent="0.25">
      <c r="A792" s="3" t="str">
        <f>HYPERLINK("http://www.ncbi.nlm.nih.gov/gene/53405","53405")</f>
        <v>53405</v>
      </c>
      <c r="B792" s="1" t="s">
        <v>1973</v>
      </c>
      <c r="C792" t="s">
        <v>1974</v>
      </c>
      <c r="D792">
        <v>112.8</v>
      </c>
      <c r="E792">
        <v>100.6</v>
      </c>
      <c r="F792">
        <v>89.9</v>
      </c>
      <c r="G792">
        <v>88</v>
      </c>
      <c r="H792">
        <v>137</v>
      </c>
      <c r="I792">
        <v>140.5</v>
      </c>
      <c r="J792">
        <v>100</v>
      </c>
      <c r="K792">
        <v>100</v>
      </c>
      <c r="L792" s="1" t="s">
        <v>1973</v>
      </c>
      <c r="M792" t="s">
        <v>269</v>
      </c>
      <c r="N792">
        <v>3</v>
      </c>
    </row>
    <row r="793" spans="1:14" x14ac:dyDescent="0.25">
      <c r="A793" s="3" t="str">
        <f>HYPERLINK("http://www.ncbi.nlm.nih.gov/gene/6249","6249")</f>
        <v>6249</v>
      </c>
      <c r="B793" s="1" t="s">
        <v>1975</v>
      </c>
      <c r="C793" t="s">
        <v>1976</v>
      </c>
      <c r="D793">
        <v>139.69999999999999</v>
      </c>
      <c r="E793">
        <v>141.6</v>
      </c>
      <c r="F793">
        <v>100</v>
      </c>
      <c r="G793">
        <v>99</v>
      </c>
      <c r="H793">
        <v>131.5</v>
      </c>
      <c r="I793">
        <v>134.6</v>
      </c>
      <c r="J793">
        <v>100</v>
      </c>
      <c r="K793">
        <v>100</v>
      </c>
      <c r="L793" s="1" t="s">
        <v>1975</v>
      </c>
      <c r="M793" t="s">
        <v>228</v>
      </c>
      <c r="N793">
        <v>3</v>
      </c>
    </row>
    <row r="794" spans="1:14" x14ac:dyDescent="0.25">
      <c r="A794" s="3" t="str">
        <f>HYPERLINK("http://www.ncbi.nlm.nih.gov/gene/79827","79827")</f>
        <v>79827</v>
      </c>
      <c r="B794" s="1" t="s">
        <v>1977</v>
      </c>
      <c r="C794" t="s">
        <v>1978</v>
      </c>
      <c r="D794">
        <v>90.9</v>
      </c>
      <c r="E794">
        <v>95.9</v>
      </c>
      <c r="F794">
        <v>100</v>
      </c>
      <c r="G794">
        <v>99.6</v>
      </c>
      <c r="H794">
        <v>151.30000000000001</v>
      </c>
      <c r="I794">
        <v>157</v>
      </c>
      <c r="J794">
        <v>100</v>
      </c>
      <c r="K794">
        <v>100</v>
      </c>
      <c r="L794" s="1" t="s">
        <v>1977</v>
      </c>
      <c r="M794" t="s">
        <v>65</v>
      </c>
      <c r="N794">
        <v>3</v>
      </c>
    </row>
    <row r="795" spans="1:14" x14ac:dyDescent="0.25">
      <c r="A795" s="3" t="str">
        <f>HYPERLINK("http://www.ncbi.nlm.nih.gov/gene/1201","1201")</f>
        <v>1201</v>
      </c>
      <c r="B795" s="1" t="s">
        <v>1979</v>
      </c>
      <c r="C795" t="s">
        <v>1980</v>
      </c>
      <c r="D795">
        <v>131.6</v>
      </c>
      <c r="E795">
        <v>133</v>
      </c>
      <c r="F795">
        <v>92.5</v>
      </c>
      <c r="G795">
        <v>91.8</v>
      </c>
      <c r="H795">
        <v>128.19999999999999</v>
      </c>
      <c r="I795">
        <v>130.30000000000001</v>
      </c>
      <c r="J795">
        <v>92.5</v>
      </c>
      <c r="K795">
        <v>92.5</v>
      </c>
      <c r="L795" s="1" t="s">
        <v>1979</v>
      </c>
      <c r="M795" t="s">
        <v>1981</v>
      </c>
      <c r="N795">
        <v>6</v>
      </c>
    </row>
    <row r="796" spans="1:14" x14ac:dyDescent="0.25">
      <c r="A796" s="3" t="str">
        <f>HYPERLINK("http://www.ncbi.nlm.nih.gov/gene/1203","1203")</f>
        <v>1203</v>
      </c>
      <c r="B796" s="1" t="s">
        <v>1982</v>
      </c>
      <c r="D796">
        <v>125</v>
      </c>
      <c r="E796">
        <v>125.9</v>
      </c>
      <c r="F796">
        <v>69.3</v>
      </c>
      <c r="G796">
        <v>66.3</v>
      </c>
      <c r="H796">
        <v>101.9</v>
      </c>
      <c r="I796">
        <v>104.9</v>
      </c>
      <c r="J796">
        <v>72.099999999999994</v>
      </c>
      <c r="K796">
        <v>71.599999999999994</v>
      </c>
      <c r="L796" s="1" t="s">
        <v>1982</v>
      </c>
      <c r="M796" t="s">
        <v>1981</v>
      </c>
      <c r="N796">
        <v>6</v>
      </c>
    </row>
    <row r="797" spans="1:14" x14ac:dyDescent="0.25">
      <c r="A797" s="3" t="str">
        <f>HYPERLINK("http://www.ncbi.nlm.nih.gov/gene/54982","54982")</f>
        <v>54982</v>
      </c>
      <c r="B797" s="1" t="s">
        <v>1983</v>
      </c>
      <c r="C797" t="s">
        <v>1984</v>
      </c>
      <c r="D797">
        <v>132.1</v>
      </c>
      <c r="E797">
        <v>141.30000000000001</v>
      </c>
      <c r="F797">
        <v>99.9</v>
      </c>
      <c r="G797">
        <v>97.1</v>
      </c>
      <c r="H797">
        <v>122</v>
      </c>
      <c r="I797">
        <v>125.6</v>
      </c>
      <c r="J797">
        <v>100</v>
      </c>
      <c r="K797">
        <v>100</v>
      </c>
      <c r="L797" s="1" t="s">
        <v>1983</v>
      </c>
      <c r="M797" t="s">
        <v>1981</v>
      </c>
      <c r="N797">
        <v>6</v>
      </c>
    </row>
    <row r="798" spans="1:14" x14ac:dyDescent="0.25">
      <c r="A798" s="3" t="str">
        <f>HYPERLINK("http://www.ncbi.nlm.nih.gov/gene/2055","2055")</f>
        <v>2055</v>
      </c>
      <c r="B798" s="1" t="s">
        <v>1985</v>
      </c>
      <c r="C798" t="s">
        <v>1986</v>
      </c>
      <c r="D798">
        <v>172.3</v>
      </c>
      <c r="E798">
        <v>173.9</v>
      </c>
      <c r="F798">
        <v>83.5</v>
      </c>
      <c r="G798">
        <v>83.5</v>
      </c>
      <c r="H798">
        <v>207.3</v>
      </c>
      <c r="I798">
        <v>210.1</v>
      </c>
      <c r="J798">
        <v>100</v>
      </c>
      <c r="K798">
        <v>100</v>
      </c>
      <c r="L798" s="1" t="s">
        <v>1985</v>
      </c>
      <c r="M798" t="s">
        <v>1981</v>
      </c>
      <c r="N798">
        <v>6</v>
      </c>
    </row>
    <row r="799" spans="1:14" x14ac:dyDescent="0.25">
      <c r="A799" s="3" t="str">
        <f>HYPERLINK("http://www.ncbi.nlm.nih.gov/gene/10978","10978")</f>
        <v>10978</v>
      </c>
      <c r="B799" s="1" t="s">
        <v>1987</v>
      </c>
      <c r="C799" t="s">
        <v>1988</v>
      </c>
      <c r="D799">
        <v>140.1</v>
      </c>
      <c r="E799">
        <v>140.4</v>
      </c>
      <c r="F799">
        <v>100</v>
      </c>
      <c r="G799">
        <v>100</v>
      </c>
      <c r="H799">
        <v>149.80000000000001</v>
      </c>
      <c r="I799">
        <v>150</v>
      </c>
      <c r="J799">
        <v>100</v>
      </c>
      <c r="K799">
        <v>100</v>
      </c>
      <c r="L799" s="1" t="s">
        <v>1987</v>
      </c>
      <c r="M799" t="s">
        <v>288</v>
      </c>
      <c r="N799">
        <v>4</v>
      </c>
    </row>
    <row r="800" spans="1:14" x14ac:dyDescent="0.25">
      <c r="A800" s="3" t="str">
        <f>HYPERLINK("http://www.ncbi.nlm.nih.gov/gene/81570","81570")</f>
        <v>81570</v>
      </c>
      <c r="B800" s="1" t="s">
        <v>1989</v>
      </c>
      <c r="C800" t="s">
        <v>1990</v>
      </c>
      <c r="D800">
        <v>131.19999999999999</v>
      </c>
      <c r="E800">
        <v>135.69999999999999</v>
      </c>
      <c r="F800">
        <v>94.9</v>
      </c>
      <c r="G800">
        <v>94.9</v>
      </c>
      <c r="H800">
        <v>138</v>
      </c>
      <c r="I800">
        <v>142.19999999999999</v>
      </c>
      <c r="J800">
        <v>100</v>
      </c>
      <c r="K800">
        <v>100</v>
      </c>
      <c r="L800" s="1" t="s">
        <v>1989</v>
      </c>
      <c r="M800" t="s">
        <v>1991</v>
      </c>
      <c r="N800">
        <v>8</v>
      </c>
    </row>
    <row r="801" spans="1:14" x14ac:dyDescent="0.25">
      <c r="A801" s="3" t="str">
        <f>HYPERLINK("http://www.ncbi.nlm.nih.gov/gene/8192","8192")</f>
        <v>8192</v>
      </c>
      <c r="B801" s="1" t="s">
        <v>1992</v>
      </c>
      <c r="C801" t="s">
        <v>1993</v>
      </c>
      <c r="D801">
        <v>146</v>
      </c>
      <c r="E801">
        <v>147.30000000000001</v>
      </c>
      <c r="F801">
        <v>100</v>
      </c>
      <c r="G801">
        <v>99.1</v>
      </c>
      <c r="H801">
        <v>130.6</v>
      </c>
      <c r="I801">
        <v>134.30000000000001</v>
      </c>
      <c r="J801">
        <v>100</v>
      </c>
      <c r="K801">
        <v>100</v>
      </c>
      <c r="L801" s="1" t="s">
        <v>1992</v>
      </c>
      <c r="M801" t="s">
        <v>1994</v>
      </c>
      <c r="N801">
        <v>5</v>
      </c>
    </row>
    <row r="802" spans="1:14" x14ac:dyDescent="0.25">
      <c r="A802" s="3" t="str">
        <f>HYPERLINK("http://www.ncbi.nlm.nih.gov/gene/10845","10845")</f>
        <v>10845</v>
      </c>
      <c r="B802" s="1" t="s">
        <v>1995</v>
      </c>
      <c r="C802" t="s">
        <v>1996</v>
      </c>
      <c r="D802">
        <v>182.4</v>
      </c>
      <c r="E802">
        <v>189</v>
      </c>
      <c r="F802">
        <v>99.9</v>
      </c>
      <c r="G802">
        <v>99.4</v>
      </c>
      <c r="H802">
        <v>131.4</v>
      </c>
      <c r="I802">
        <v>135.30000000000001</v>
      </c>
      <c r="J802">
        <v>100</v>
      </c>
      <c r="K802">
        <v>100</v>
      </c>
      <c r="L802" s="1" t="s">
        <v>1995</v>
      </c>
      <c r="M802" t="s">
        <v>285</v>
      </c>
      <c r="N802">
        <v>1</v>
      </c>
    </row>
    <row r="803" spans="1:14" x14ac:dyDescent="0.25">
      <c r="A803" s="3" t="str">
        <f>HYPERLINK("http://www.ncbi.nlm.nih.gov/gene/7401","7401")</f>
        <v>7401</v>
      </c>
      <c r="B803" s="1" t="s">
        <v>1997</v>
      </c>
      <c r="C803" t="s">
        <v>1998</v>
      </c>
      <c r="D803">
        <v>157.30000000000001</v>
      </c>
      <c r="E803">
        <v>168.2</v>
      </c>
      <c r="F803">
        <v>100</v>
      </c>
      <c r="G803">
        <v>99.8</v>
      </c>
      <c r="H803">
        <v>156.19999999999999</v>
      </c>
      <c r="I803">
        <v>161.69999999999999</v>
      </c>
      <c r="J803">
        <v>100</v>
      </c>
      <c r="K803">
        <v>100</v>
      </c>
      <c r="L803" s="1" t="s">
        <v>1997</v>
      </c>
      <c r="M803" t="s">
        <v>780</v>
      </c>
      <c r="N803">
        <v>4</v>
      </c>
    </row>
    <row r="804" spans="1:14" x14ac:dyDescent="0.25">
      <c r="A804" s="3" t="str">
        <f>HYPERLINK("http://www.ncbi.nlm.nih.gov/gene/645104","645104")</f>
        <v>645104</v>
      </c>
      <c r="B804" s="1" t="s">
        <v>1999</v>
      </c>
      <c r="C804" t="s">
        <v>2000</v>
      </c>
      <c r="D804">
        <v>125.7</v>
      </c>
      <c r="E804">
        <v>132.30000000000001</v>
      </c>
      <c r="F804">
        <v>99.7</v>
      </c>
      <c r="G804">
        <v>96.6</v>
      </c>
      <c r="H804">
        <v>164.1</v>
      </c>
      <c r="I804">
        <v>170.4</v>
      </c>
      <c r="J804">
        <v>100</v>
      </c>
      <c r="K804">
        <v>100</v>
      </c>
      <c r="L804" s="1" t="s">
        <v>1999</v>
      </c>
      <c r="M804" t="s">
        <v>1120</v>
      </c>
      <c r="N804">
        <v>2</v>
      </c>
    </row>
    <row r="805" spans="1:14" x14ac:dyDescent="0.25">
      <c r="A805" s="3" t="str">
        <f>HYPERLINK("http://www.ncbi.nlm.nih.gov/gene/1213","1213")</f>
        <v>1213</v>
      </c>
      <c r="B805" s="1" t="s">
        <v>2001</v>
      </c>
      <c r="C805" t="s">
        <v>2002</v>
      </c>
      <c r="D805">
        <v>175.7</v>
      </c>
      <c r="E805">
        <v>183.8</v>
      </c>
      <c r="F805">
        <v>100</v>
      </c>
      <c r="G805">
        <v>99.9</v>
      </c>
      <c r="H805">
        <v>126.6</v>
      </c>
      <c r="I805">
        <v>130.69999999999999</v>
      </c>
      <c r="J805">
        <v>100</v>
      </c>
      <c r="K805">
        <v>100</v>
      </c>
      <c r="L805" s="1" t="s">
        <v>2001</v>
      </c>
      <c r="M805" t="s">
        <v>189</v>
      </c>
      <c r="N805">
        <v>2</v>
      </c>
    </row>
    <row r="806" spans="1:14" x14ac:dyDescent="0.25">
      <c r="A806" s="3" t="str">
        <f>HYPERLINK("http://www.ncbi.nlm.nih.gov/gene/8218","8218")</f>
        <v>8218</v>
      </c>
      <c r="B806" s="1" t="s">
        <v>2003</v>
      </c>
      <c r="C806" t="s">
        <v>2004</v>
      </c>
      <c r="D806">
        <v>108.4</v>
      </c>
      <c r="E806">
        <v>113</v>
      </c>
      <c r="F806">
        <v>98.6</v>
      </c>
      <c r="G806">
        <v>98.2</v>
      </c>
      <c r="H806">
        <v>136.5</v>
      </c>
      <c r="I806">
        <v>140.80000000000001</v>
      </c>
      <c r="J806">
        <v>100</v>
      </c>
      <c r="K806">
        <v>100</v>
      </c>
      <c r="L806" s="1" t="s">
        <v>2003</v>
      </c>
      <c r="M806" t="s">
        <v>2005</v>
      </c>
      <c r="N806">
        <v>2</v>
      </c>
    </row>
    <row r="807" spans="1:14" x14ac:dyDescent="0.25">
      <c r="A807" s="3" t="str">
        <f>HYPERLINK("http://www.ncbi.nlm.nih.gov/gene/23059","23059")</f>
        <v>23059</v>
      </c>
      <c r="B807" s="1" t="s">
        <v>2006</v>
      </c>
      <c r="C807" t="s">
        <v>2007</v>
      </c>
      <c r="D807">
        <v>150.6</v>
      </c>
      <c r="E807">
        <v>155.6</v>
      </c>
      <c r="F807">
        <v>100</v>
      </c>
      <c r="G807">
        <v>99.8</v>
      </c>
      <c r="H807">
        <v>132.80000000000001</v>
      </c>
      <c r="I807">
        <v>135.9</v>
      </c>
      <c r="J807">
        <v>100</v>
      </c>
      <c r="K807">
        <v>100</v>
      </c>
      <c r="L807" s="1" t="s">
        <v>2006</v>
      </c>
      <c r="M807" t="s">
        <v>817</v>
      </c>
      <c r="N807">
        <v>2</v>
      </c>
    </row>
    <row r="808" spans="1:14" x14ac:dyDescent="0.25">
      <c r="A808" s="3" t="str">
        <f>HYPERLINK("http://www.ncbi.nlm.nih.gov/gene/55907","55907")</f>
        <v>55907</v>
      </c>
      <c r="B808" s="1" t="s">
        <v>2008</v>
      </c>
      <c r="C808" t="s">
        <v>2009</v>
      </c>
      <c r="D808">
        <v>102.9</v>
      </c>
      <c r="E808">
        <v>108.5</v>
      </c>
      <c r="F808">
        <v>99.9</v>
      </c>
      <c r="G808">
        <v>97.8</v>
      </c>
      <c r="H808">
        <v>127.4</v>
      </c>
      <c r="I808">
        <v>131.19999999999999</v>
      </c>
      <c r="J808">
        <v>100</v>
      </c>
      <c r="K808">
        <v>100</v>
      </c>
      <c r="L808" s="1" t="s">
        <v>2008</v>
      </c>
      <c r="M808" t="s">
        <v>93</v>
      </c>
      <c r="N808">
        <v>2</v>
      </c>
    </row>
    <row r="809" spans="1:14" x14ac:dyDescent="0.25">
      <c r="A809" s="3" t="str">
        <f>HYPERLINK("http://www.ncbi.nlm.nih.gov/gene/7555","7555")</f>
        <v>7555</v>
      </c>
      <c r="B809" s="1" t="s">
        <v>2010</v>
      </c>
      <c r="C809" t="s">
        <v>2011</v>
      </c>
      <c r="D809">
        <v>123.9</v>
      </c>
      <c r="E809">
        <v>126</v>
      </c>
      <c r="F809">
        <v>100</v>
      </c>
      <c r="G809">
        <v>100</v>
      </c>
      <c r="H809">
        <v>160.69999999999999</v>
      </c>
      <c r="I809">
        <v>166.3</v>
      </c>
      <c r="J809">
        <v>100</v>
      </c>
      <c r="K809">
        <v>100</v>
      </c>
      <c r="L809" s="1" t="s">
        <v>2010</v>
      </c>
      <c r="M809" t="s">
        <v>285</v>
      </c>
      <c r="N809">
        <v>1</v>
      </c>
    </row>
    <row r="810" spans="1:14" x14ac:dyDescent="0.25">
      <c r="A810" s="3" t="str">
        <f>HYPERLINK("http://www.ncbi.nlm.nih.gov/gene/1259","1259")</f>
        <v>1259</v>
      </c>
      <c r="B810" s="1" t="s">
        <v>2012</v>
      </c>
      <c r="C810" t="s">
        <v>2013</v>
      </c>
      <c r="D810">
        <v>135.1</v>
      </c>
      <c r="E810">
        <v>129.30000000000001</v>
      </c>
      <c r="F810">
        <v>91.7</v>
      </c>
      <c r="G810">
        <v>86.3</v>
      </c>
      <c r="H810">
        <v>127.9</v>
      </c>
      <c r="I810">
        <v>127.6</v>
      </c>
      <c r="J810">
        <v>91</v>
      </c>
      <c r="K810">
        <v>91</v>
      </c>
      <c r="L810" s="1" t="s">
        <v>2012</v>
      </c>
      <c r="M810" t="s">
        <v>2014</v>
      </c>
      <c r="N810">
        <v>3</v>
      </c>
    </row>
    <row r="811" spans="1:14" x14ac:dyDescent="0.25">
      <c r="A811" s="3" t="str">
        <f>HYPERLINK("http://www.ncbi.nlm.nih.gov/gene/1261","1261")</f>
        <v>1261</v>
      </c>
      <c r="B811" s="1" t="s">
        <v>2015</v>
      </c>
      <c r="C811" t="s">
        <v>2016</v>
      </c>
      <c r="D811">
        <v>179.3</v>
      </c>
      <c r="E811">
        <v>175.2</v>
      </c>
      <c r="F811">
        <v>100</v>
      </c>
      <c r="G811">
        <v>99.7</v>
      </c>
      <c r="H811">
        <v>141</v>
      </c>
      <c r="I811">
        <v>142.5</v>
      </c>
      <c r="J811">
        <v>100</v>
      </c>
      <c r="K811">
        <v>100</v>
      </c>
      <c r="L811" s="1" t="s">
        <v>2015</v>
      </c>
      <c r="M811" t="s">
        <v>56</v>
      </c>
      <c r="N811">
        <v>3</v>
      </c>
    </row>
    <row r="812" spans="1:14" x14ac:dyDescent="0.25">
      <c r="A812" s="3" t="str">
        <f>HYPERLINK("http://www.ncbi.nlm.nih.gov/gene/1258","1258")</f>
        <v>1258</v>
      </c>
      <c r="B812" s="1" t="s">
        <v>2017</v>
      </c>
      <c r="C812" t="s">
        <v>2018</v>
      </c>
      <c r="D812">
        <v>117.6</v>
      </c>
      <c r="E812">
        <v>121</v>
      </c>
      <c r="F812">
        <v>99.4</v>
      </c>
      <c r="G812">
        <v>97.5</v>
      </c>
      <c r="H812">
        <v>142.6</v>
      </c>
      <c r="I812">
        <v>146.30000000000001</v>
      </c>
      <c r="J812">
        <v>100</v>
      </c>
      <c r="K812">
        <v>100</v>
      </c>
      <c r="L812" s="1" t="s">
        <v>2017</v>
      </c>
      <c r="M812" t="s">
        <v>56</v>
      </c>
      <c r="N812">
        <v>3</v>
      </c>
    </row>
    <row r="813" spans="1:14" x14ac:dyDescent="0.25">
      <c r="A813" s="3" t="str">
        <f>HYPERLINK("http://www.ncbi.nlm.nih.gov/gene/54714","54714")</f>
        <v>54714</v>
      </c>
      <c r="B813" s="1" t="s">
        <v>2019</v>
      </c>
      <c r="C813" t="s">
        <v>2020</v>
      </c>
      <c r="D813">
        <v>129.1</v>
      </c>
      <c r="E813">
        <v>133.69999999999999</v>
      </c>
      <c r="F813">
        <v>99.4</v>
      </c>
      <c r="G813">
        <v>95.9</v>
      </c>
      <c r="H813">
        <v>138.69999999999999</v>
      </c>
      <c r="I813">
        <v>142</v>
      </c>
      <c r="J813">
        <v>100</v>
      </c>
      <c r="K813">
        <v>100</v>
      </c>
      <c r="L813" s="1" t="s">
        <v>2019</v>
      </c>
      <c r="M813" t="s">
        <v>56</v>
      </c>
      <c r="N813">
        <v>3</v>
      </c>
    </row>
    <row r="814" spans="1:14" x14ac:dyDescent="0.25">
      <c r="A814" s="3" t="str">
        <f>HYPERLINK("http://www.ncbi.nlm.nih.gov/gene/22866","22866")</f>
        <v>22866</v>
      </c>
      <c r="B814" s="1" t="s">
        <v>2021</v>
      </c>
      <c r="C814" t="s">
        <v>2022</v>
      </c>
      <c r="D814">
        <v>95.2</v>
      </c>
      <c r="E814">
        <v>95.6</v>
      </c>
      <c r="F814">
        <v>95.5</v>
      </c>
      <c r="G814">
        <v>90.8</v>
      </c>
      <c r="H814">
        <v>122.7</v>
      </c>
      <c r="I814">
        <v>125.8</v>
      </c>
      <c r="J814">
        <v>100</v>
      </c>
      <c r="K814">
        <v>100</v>
      </c>
      <c r="L814" s="1" t="s">
        <v>2021</v>
      </c>
      <c r="M814" t="s">
        <v>728</v>
      </c>
      <c r="N814">
        <v>2</v>
      </c>
    </row>
    <row r="815" spans="1:14" x14ac:dyDescent="0.25">
      <c r="A815" s="3" t="str">
        <f>HYPERLINK("http://www.ncbi.nlm.nih.gov/gene/54805","54805")</f>
        <v>54805</v>
      </c>
      <c r="B815" s="1" t="s">
        <v>2023</v>
      </c>
      <c r="C815" t="s">
        <v>2024</v>
      </c>
      <c r="D815">
        <v>190.1</v>
      </c>
      <c r="E815">
        <v>198.1</v>
      </c>
      <c r="F815">
        <v>100</v>
      </c>
      <c r="G815">
        <v>100</v>
      </c>
      <c r="H815">
        <v>134.30000000000001</v>
      </c>
      <c r="I815">
        <v>136.5</v>
      </c>
      <c r="J815">
        <v>100</v>
      </c>
      <c r="K815">
        <v>100</v>
      </c>
      <c r="L815" s="1" t="s">
        <v>2023</v>
      </c>
      <c r="M815" t="s">
        <v>2025</v>
      </c>
      <c r="N815">
        <v>6</v>
      </c>
    </row>
    <row r="816" spans="1:14" x14ac:dyDescent="0.25">
      <c r="A816" s="3" t="str">
        <f>HYPERLINK("http://www.ncbi.nlm.nih.gov/gene/26504","26504")</f>
        <v>26504</v>
      </c>
      <c r="B816" s="1" t="s">
        <v>2026</v>
      </c>
      <c r="C816" t="s">
        <v>2027</v>
      </c>
      <c r="D816">
        <v>174.7</v>
      </c>
      <c r="E816">
        <v>176.3</v>
      </c>
      <c r="F816">
        <v>99.8</v>
      </c>
      <c r="G816">
        <v>98.9</v>
      </c>
      <c r="H816">
        <v>154.69999999999999</v>
      </c>
      <c r="I816">
        <v>163.1</v>
      </c>
      <c r="J816">
        <v>99.7</v>
      </c>
      <c r="K816">
        <v>98.8</v>
      </c>
      <c r="L816" s="1" t="s">
        <v>2026</v>
      </c>
      <c r="M816" t="s">
        <v>1633</v>
      </c>
      <c r="N816">
        <v>4</v>
      </c>
    </row>
    <row r="817" spans="1:14" x14ac:dyDescent="0.25">
      <c r="A817" s="3" t="str">
        <f>HYPERLINK("http://www.ncbi.nlm.nih.gov/gene/23019","23019")</f>
        <v>23019</v>
      </c>
      <c r="B817" s="1" t="s">
        <v>2028</v>
      </c>
      <c r="C817" t="s">
        <v>2029</v>
      </c>
      <c r="D817">
        <v>154.5</v>
      </c>
      <c r="E817">
        <v>158.69999999999999</v>
      </c>
      <c r="F817">
        <v>100</v>
      </c>
      <c r="G817">
        <v>99.9</v>
      </c>
      <c r="H817">
        <v>137.6</v>
      </c>
      <c r="I817">
        <v>142.30000000000001</v>
      </c>
      <c r="J817">
        <v>100</v>
      </c>
      <c r="K817">
        <v>100</v>
      </c>
      <c r="L817" s="1" t="s">
        <v>2028</v>
      </c>
      <c r="M817" t="s">
        <v>189</v>
      </c>
      <c r="N817">
        <v>2</v>
      </c>
    </row>
    <row r="818" spans="1:14" x14ac:dyDescent="0.25">
      <c r="A818" s="3" t="str">
        <f>HYPERLINK("http://www.ncbi.nlm.nih.gov/gene/4848","4848")</f>
        <v>4848</v>
      </c>
      <c r="B818" s="1" t="s">
        <v>2030</v>
      </c>
      <c r="C818" t="s">
        <v>2031</v>
      </c>
      <c r="D818">
        <v>151.80000000000001</v>
      </c>
      <c r="E818">
        <v>155</v>
      </c>
      <c r="F818">
        <v>99.9</v>
      </c>
      <c r="G818">
        <v>99.5</v>
      </c>
      <c r="H818">
        <v>141.5</v>
      </c>
      <c r="I818">
        <v>144.80000000000001</v>
      </c>
      <c r="J818">
        <v>100</v>
      </c>
      <c r="K818">
        <v>100</v>
      </c>
      <c r="L818" s="1" t="s">
        <v>2030</v>
      </c>
      <c r="M818" t="s">
        <v>189</v>
      </c>
      <c r="N818">
        <v>2</v>
      </c>
    </row>
    <row r="819" spans="1:14" x14ac:dyDescent="0.25">
      <c r="A819" s="3" t="str">
        <f>HYPERLINK("http://www.ncbi.nlm.nih.gov/gene/4849","4849")</f>
        <v>4849</v>
      </c>
      <c r="B819" s="1" t="s">
        <v>2032</v>
      </c>
      <c r="C819" t="s">
        <v>2033</v>
      </c>
      <c r="D819">
        <v>144.9</v>
      </c>
      <c r="E819">
        <v>146.69999999999999</v>
      </c>
      <c r="F819">
        <v>100</v>
      </c>
      <c r="G819">
        <v>100</v>
      </c>
      <c r="H819">
        <v>201</v>
      </c>
      <c r="I819">
        <v>207.3</v>
      </c>
      <c r="J819">
        <v>100</v>
      </c>
      <c r="K819">
        <v>100</v>
      </c>
      <c r="L819" s="1" t="s">
        <v>2032</v>
      </c>
      <c r="M819" t="s">
        <v>189</v>
      </c>
      <c r="N819">
        <v>2</v>
      </c>
    </row>
    <row r="820" spans="1:14" x14ac:dyDescent="0.25">
      <c r="A820" s="3" t="str">
        <f>HYPERLINK("http://www.ncbi.nlm.nih.gov/gene/10695","10695")</f>
        <v>10695</v>
      </c>
      <c r="B820" s="1" t="s">
        <v>2034</v>
      </c>
      <c r="C820" t="s">
        <v>2035</v>
      </c>
      <c r="D820">
        <v>81.599999999999994</v>
      </c>
      <c r="E820">
        <v>83.1</v>
      </c>
      <c r="F820">
        <v>100</v>
      </c>
      <c r="G820">
        <v>99.3</v>
      </c>
      <c r="H820">
        <v>123.7</v>
      </c>
      <c r="I820">
        <v>126.8</v>
      </c>
      <c r="J820">
        <v>100</v>
      </c>
      <c r="K820">
        <v>100</v>
      </c>
      <c r="L820" s="1" t="s">
        <v>2034</v>
      </c>
      <c r="M820" t="s">
        <v>228</v>
      </c>
      <c r="N820">
        <v>3</v>
      </c>
    </row>
    <row r="821" spans="1:14" x14ac:dyDescent="0.25">
      <c r="A821" s="3" t="str">
        <f>HYPERLINK("http://www.ncbi.nlm.nih.gov/gene/1272","1272")</f>
        <v>1272</v>
      </c>
      <c r="B821" s="1" t="s">
        <v>2036</v>
      </c>
      <c r="C821" t="s">
        <v>2037</v>
      </c>
      <c r="D821">
        <v>136.30000000000001</v>
      </c>
      <c r="E821">
        <v>143.1</v>
      </c>
      <c r="F821">
        <v>99.9</v>
      </c>
      <c r="G821">
        <v>98.9</v>
      </c>
      <c r="H821">
        <v>131.30000000000001</v>
      </c>
      <c r="I821">
        <v>135.6</v>
      </c>
      <c r="J821">
        <v>100</v>
      </c>
      <c r="K821">
        <v>100</v>
      </c>
      <c r="L821" s="1" t="s">
        <v>2036</v>
      </c>
      <c r="M821" t="s">
        <v>1804</v>
      </c>
      <c r="N821">
        <v>3</v>
      </c>
    </row>
    <row r="822" spans="1:14" x14ac:dyDescent="0.25">
      <c r="A822" s="3" t="str">
        <f>HYPERLINK("http://www.ncbi.nlm.nih.gov/gene/6900","6900")</f>
        <v>6900</v>
      </c>
      <c r="B822" s="1" t="s">
        <v>2038</v>
      </c>
      <c r="C822" t="s">
        <v>2039</v>
      </c>
      <c r="D822">
        <v>129</v>
      </c>
      <c r="E822">
        <v>134.1</v>
      </c>
      <c r="F822">
        <v>92.7</v>
      </c>
      <c r="G822">
        <v>92.7</v>
      </c>
      <c r="H822">
        <v>136.5</v>
      </c>
      <c r="I822">
        <v>140.4</v>
      </c>
      <c r="J822">
        <v>100</v>
      </c>
      <c r="K822">
        <v>100</v>
      </c>
      <c r="L822" s="1" t="s">
        <v>2038</v>
      </c>
      <c r="M822" t="s">
        <v>2040</v>
      </c>
      <c r="N822">
        <v>3</v>
      </c>
    </row>
    <row r="823" spans="1:14" x14ac:dyDescent="0.25">
      <c r="A823" s="3" t="str">
        <f>HYPERLINK("http://www.ncbi.nlm.nih.gov/gene/5067","5067")</f>
        <v>5067</v>
      </c>
      <c r="B823" s="1" t="s">
        <v>2041</v>
      </c>
      <c r="C823" t="s">
        <v>2042</v>
      </c>
      <c r="D823">
        <v>175.6</v>
      </c>
      <c r="E823">
        <v>183.1</v>
      </c>
      <c r="F823">
        <v>100</v>
      </c>
      <c r="G823">
        <v>99.8</v>
      </c>
      <c r="H823">
        <v>147.1</v>
      </c>
      <c r="I823">
        <v>152</v>
      </c>
      <c r="J823">
        <v>100</v>
      </c>
      <c r="K823">
        <v>100</v>
      </c>
      <c r="L823" s="1" t="s">
        <v>2041</v>
      </c>
      <c r="M823" t="s">
        <v>661</v>
      </c>
      <c r="N823">
        <v>2</v>
      </c>
    </row>
    <row r="824" spans="1:14" x14ac:dyDescent="0.25">
      <c r="A824" s="3" t="str">
        <f>HYPERLINK("http://www.ncbi.nlm.nih.gov/gene/8506","8506")</f>
        <v>8506</v>
      </c>
      <c r="B824" s="1" t="s">
        <v>2043</v>
      </c>
      <c r="C824" t="s">
        <v>2044</v>
      </c>
      <c r="D824">
        <v>167.2</v>
      </c>
      <c r="E824">
        <v>173.7</v>
      </c>
      <c r="F824">
        <v>100</v>
      </c>
      <c r="G824">
        <v>99.8</v>
      </c>
      <c r="H824">
        <v>136.80000000000001</v>
      </c>
      <c r="I824">
        <v>140.80000000000001</v>
      </c>
      <c r="J824">
        <v>100</v>
      </c>
      <c r="K824">
        <v>100</v>
      </c>
      <c r="L824" s="1" t="s">
        <v>2043</v>
      </c>
      <c r="M824" t="s">
        <v>2045</v>
      </c>
      <c r="N824">
        <v>4</v>
      </c>
    </row>
    <row r="825" spans="1:14" x14ac:dyDescent="0.25">
      <c r="A825" s="3" t="str">
        <f>HYPERLINK("http://www.ncbi.nlm.nih.gov/gene/26047","26047")</f>
        <v>26047</v>
      </c>
      <c r="B825" s="1" t="s">
        <v>2046</v>
      </c>
      <c r="C825" t="s">
        <v>2047</v>
      </c>
      <c r="D825">
        <v>146.9</v>
      </c>
      <c r="E825">
        <v>154</v>
      </c>
      <c r="F825">
        <v>100</v>
      </c>
      <c r="G825">
        <v>99.8</v>
      </c>
      <c r="H825">
        <v>151.19999999999999</v>
      </c>
      <c r="I825">
        <v>156.6</v>
      </c>
      <c r="J825">
        <v>100</v>
      </c>
      <c r="K825">
        <v>100</v>
      </c>
      <c r="L825" s="1" t="s">
        <v>2046</v>
      </c>
      <c r="M825" t="s">
        <v>1220</v>
      </c>
      <c r="N825">
        <v>4</v>
      </c>
    </row>
    <row r="826" spans="1:14" x14ac:dyDescent="0.25">
      <c r="A826" s="3" t="str">
        <f>HYPERLINK("http://www.ncbi.nlm.nih.gov/gene/55744","55744")</f>
        <v>55744</v>
      </c>
      <c r="B826" s="1" t="s">
        <v>2048</v>
      </c>
      <c r="C826" t="s">
        <v>2049</v>
      </c>
      <c r="D826">
        <v>109.8</v>
      </c>
      <c r="E826">
        <v>116.1</v>
      </c>
      <c r="F826">
        <v>100</v>
      </c>
      <c r="G826">
        <v>100</v>
      </c>
      <c r="H826">
        <v>127.3</v>
      </c>
      <c r="I826">
        <v>130.6</v>
      </c>
      <c r="J826">
        <v>100</v>
      </c>
      <c r="K826">
        <v>100</v>
      </c>
      <c r="L826" s="1" t="s">
        <v>2048</v>
      </c>
      <c r="M826" t="s">
        <v>265</v>
      </c>
      <c r="N826">
        <v>2</v>
      </c>
    </row>
    <row r="827" spans="1:14" x14ac:dyDescent="0.25">
      <c r="A827" s="3" t="str">
        <f>HYPERLINK("http://www.ncbi.nlm.nih.gov/gene/28958","28958")</f>
        <v>28958</v>
      </c>
      <c r="B827" s="1" t="s">
        <v>2050</v>
      </c>
      <c r="C827" t="s">
        <v>2051</v>
      </c>
      <c r="D827">
        <v>150.4</v>
      </c>
      <c r="E827">
        <v>156.1</v>
      </c>
      <c r="F827">
        <v>100</v>
      </c>
      <c r="G827">
        <v>100</v>
      </c>
      <c r="H827">
        <v>146</v>
      </c>
      <c r="I827">
        <v>149.5</v>
      </c>
      <c r="J827">
        <v>100</v>
      </c>
      <c r="K827">
        <v>100</v>
      </c>
      <c r="L827" s="1" t="s">
        <v>2050</v>
      </c>
      <c r="M827" t="s">
        <v>2052</v>
      </c>
      <c r="N827">
        <v>3</v>
      </c>
    </row>
    <row r="828" spans="1:14" x14ac:dyDescent="0.25">
      <c r="A828" s="3" t="str">
        <f>HYPERLINK("http://www.ncbi.nlm.nih.gov/gene/493753","493753")</f>
        <v>493753</v>
      </c>
      <c r="B828" s="1" t="s">
        <v>2053</v>
      </c>
      <c r="C828" t="s">
        <v>2054</v>
      </c>
      <c r="D828">
        <v>69.8</v>
      </c>
      <c r="E828">
        <v>68.900000000000006</v>
      </c>
      <c r="F828">
        <v>99.1</v>
      </c>
      <c r="G828">
        <v>88.9</v>
      </c>
      <c r="H828">
        <v>125.7</v>
      </c>
      <c r="I828">
        <v>127.8</v>
      </c>
      <c r="J828">
        <v>85.2</v>
      </c>
      <c r="K828">
        <v>85.2</v>
      </c>
      <c r="L828" s="1" t="s">
        <v>2053</v>
      </c>
      <c r="M828" t="s">
        <v>766</v>
      </c>
      <c r="N828">
        <v>3</v>
      </c>
    </row>
    <row r="829" spans="1:14" x14ac:dyDescent="0.25">
      <c r="A829" s="3" t="str">
        <f>HYPERLINK("http://www.ncbi.nlm.nih.gov/gene/388753","388753")</f>
        <v>388753</v>
      </c>
      <c r="B829" s="1" t="s">
        <v>2055</v>
      </c>
      <c r="C829" t="s">
        <v>2056</v>
      </c>
      <c r="D829">
        <v>104.1</v>
      </c>
      <c r="E829">
        <v>106.3</v>
      </c>
      <c r="F829">
        <v>99.9</v>
      </c>
      <c r="G829">
        <v>98.4</v>
      </c>
      <c r="H829">
        <v>145.80000000000001</v>
      </c>
      <c r="I829">
        <v>150.6</v>
      </c>
      <c r="J829">
        <v>100</v>
      </c>
      <c r="K829">
        <v>100</v>
      </c>
      <c r="L829" s="1" t="s">
        <v>2055</v>
      </c>
      <c r="M829" t="s">
        <v>766</v>
      </c>
      <c r="N829">
        <v>3</v>
      </c>
    </row>
    <row r="830" spans="1:14" x14ac:dyDescent="0.25">
      <c r="A830" s="3" t="str">
        <f>HYPERLINK("http://www.ncbi.nlm.nih.gov/gene/65260","65260")</f>
        <v>65260</v>
      </c>
      <c r="B830" s="1" t="s">
        <v>2057</v>
      </c>
      <c r="C830" t="s">
        <v>2058</v>
      </c>
      <c r="D830">
        <v>140.30000000000001</v>
      </c>
      <c r="E830">
        <v>142.6</v>
      </c>
      <c r="F830">
        <v>100</v>
      </c>
      <c r="G830">
        <v>100</v>
      </c>
      <c r="H830">
        <v>167.5</v>
      </c>
      <c r="I830">
        <v>174.4</v>
      </c>
      <c r="J830">
        <v>100</v>
      </c>
      <c r="K830">
        <v>100</v>
      </c>
      <c r="L830" s="1" t="s">
        <v>2057</v>
      </c>
      <c r="M830" t="s">
        <v>2059</v>
      </c>
      <c r="N830">
        <v>4</v>
      </c>
    </row>
    <row r="831" spans="1:14" x14ac:dyDescent="0.25">
      <c r="A831" s="3" t="str">
        <f>HYPERLINK("http://www.ncbi.nlm.nih.gov/gene/84334","84334")</f>
        <v>84334</v>
      </c>
      <c r="B831" s="1" t="s">
        <v>2060</v>
      </c>
      <c r="C831" t="s">
        <v>2061</v>
      </c>
      <c r="D831">
        <v>87.9</v>
      </c>
      <c r="E831">
        <v>92.5</v>
      </c>
      <c r="F831">
        <v>81.900000000000006</v>
      </c>
      <c r="G831">
        <v>80.7</v>
      </c>
      <c r="H831">
        <v>122.3</v>
      </c>
      <c r="I831">
        <v>126.7</v>
      </c>
      <c r="J831">
        <v>93.5</v>
      </c>
      <c r="K831">
        <v>93.4</v>
      </c>
      <c r="L831" s="1" t="s">
        <v>2060</v>
      </c>
      <c r="M831" t="s">
        <v>2062</v>
      </c>
      <c r="N831">
        <v>7</v>
      </c>
    </row>
    <row r="832" spans="1:14" x14ac:dyDescent="0.25">
      <c r="A832" s="3" t="str">
        <f>HYPERLINK("http://www.ncbi.nlm.nih.gov/gene/80347","80347")</f>
        <v>80347</v>
      </c>
      <c r="B832" s="1" t="s">
        <v>2063</v>
      </c>
      <c r="C832" t="s">
        <v>2064</v>
      </c>
      <c r="D832">
        <v>188.2</v>
      </c>
      <c r="E832">
        <v>181.4</v>
      </c>
      <c r="F832">
        <v>100</v>
      </c>
      <c r="G832">
        <v>100</v>
      </c>
      <c r="H832">
        <v>144.9</v>
      </c>
      <c r="I832">
        <v>145.69999999999999</v>
      </c>
      <c r="J832">
        <v>100</v>
      </c>
      <c r="K832">
        <v>100</v>
      </c>
      <c r="L832" s="1" t="s">
        <v>2063</v>
      </c>
      <c r="M832" t="s">
        <v>597</v>
      </c>
      <c r="N832">
        <v>5</v>
      </c>
    </row>
    <row r="833" spans="1:14" x14ac:dyDescent="0.25">
      <c r="A833" s="3" t="str">
        <f>HYPERLINK("http://www.ncbi.nlm.nih.gov/gene/1690","1690")</f>
        <v>1690</v>
      </c>
      <c r="B833" s="1" t="s">
        <v>2065</v>
      </c>
      <c r="C833" t="s">
        <v>2066</v>
      </c>
      <c r="D833">
        <v>163.1</v>
      </c>
      <c r="E833">
        <v>170.5</v>
      </c>
      <c r="F833">
        <v>95.2</v>
      </c>
      <c r="G833">
        <v>93.2</v>
      </c>
      <c r="H833">
        <v>128.4</v>
      </c>
      <c r="I833">
        <v>132.30000000000001</v>
      </c>
      <c r="J833">
        <v>100</v>
      </c>
      <c r="K833">
        <v>100</v>
      </c>
      <c r="L833" s="1" t="s">
        <v>2065</v>
      </c>
      <c r="M833" t="s">
        <v>2067</v>
      </c>
      <c r="N833">
        <v>3</v>
      </c>
    </row>
    <row r="834" spans="1:14" x14ac:dyDescent="0.25">
      <c r="A834" s="3" t="str">
        <f>HYPERLINK("http://www.ncbi.nlm.nih.gov/gene/9382","9382")</f>
        <v>9382</v>
      </c>
      <c r="B834" s="1" t="s">
        <v>2068</v>
      </c>
      <c r="C834" t="s">
        <v>2069</v>
      </c>
      <c r="D834">
        <v>119.3</v>
      </c>
      <c r="E834">
        <v>121.9</v>
      </c>
      <c r="F834">
        <v>100</v>
      </c>
      <c r="G834">
        <v>100</v>
      </c>
      <c r="H834">
        <v>142.4</v>
      </c>
      <c r="I834">
        <v>145.69999999999999</v>
      </c>
      <c r="J834">
        <v>100</v>
      </c>
      <c r="K834">
        <v>100</v>
      </c>
      <c r="L834" s="1" t="s">
        <v>2068</v>
      </c>
      <c r="M834" t="s">
        <v>468</v>
      </c>
      <c r="N834">
        <v>5</v>
      </c>
    </row>
    <row r="835" spans="1:14" x14ac:dyDescent="0.25">
      <c r="A835" s="3" t="str">
        <f>HYPERLINK("http://www.ncbi.nlm.nih.gov/gene/22796","22796")</f>
        <v>22796</v>
      </c>
      <c r="B835" s="1" t="s">
        <v>2070</v>
      </c>
      <c r="C835" t="s">
        <v>2071</v>
      </c>
      <c r="D835">
        <v>139.4</v>
      </c>
      <c r="E835">
        <v>146.1</v>
      </c>
      <c r="F835">
        <v>99.9</v>
      </c>
      <c r="G835">
        <v>98.5</v>
      </c>
      <c r="H835">
        <v>124.8</v>
      </c>
      <c r="I835">
        <v>128.30000000000001</v>
      </c>
      <c r="J835">
        <v>100</v>
      </c>
      <c r="K835">
        <v>100</v>
      </c>
      <c r="L835" s="1" t="s">
        <v>2070</v>
      </c>
      <c r="M835" t="s">
        <v>116</v>
      </c>
      <c r="N835">
        <v>3</v>
      </c>
    </row>
    <row r="836" spans="1:14" x14ac:dyDescent="0.25">
      <c r="A836" s="3" t="str">
        <f>HYPERLINK("http://www.ncbi.nlm.nih.gov/gene/25839","25839")</f>
        <v>25839</v>
      </c>
      <c r="B836" s="1" t="s">
        <v>2072</v>
      </c>
      <c r="C836" t="s">
        <v>2073</v>
      </c>
      <c r="D836">
        <v>106.4</v>
      </c>
      <c r="E836">
        <v>110.3</v>
      </c>
      <c r="F836">
        <v>100</v>
      </c>
      <c r="G836">
        <v>99.9</v>
      </c>
      <c r="H836">
        <v>140.80000000000001</v>
      </c>
      <c r="I836">
        <v>144.80000000000001</v>
      </c>
      <c r="J836">
        <v>100</v>
      </c>
      <c r="K836">
        <v>100</v>
      </c>
      <c r="L836" s="1" t="s">
        <v>2072</v>
      </c>
      <c r="M836" t="s">
        <v>2074</v>
      </c>
      <c r="N836">
        <v>5</v>
      </c>
    </row>
    <row r="837" spans="1:14" x14ac:dyDescent="0.25">
      <c r="A837" s="3" t="str">
        <f>HYPERLINK("http://www.ncbi.nlm.nih.gov/gene/10466","10466")</f>
        <v>10466</v>
      </c>
      <c r="B837" s="1" t="s">
        <v>2075</v>
      </c>
      <c r="C837" t="s">
        <v>2076</v>
      </c>
      <c r="D837">
        <v>151.1</v>
      </c>
      <c r="E837">
        <v>154.6</v>
      </c>
      <c r="F837">
        <v>99.7</v>
      </c>
      <c r="G837">
        <v>97.6</v>
      </c>
      <c r="H837">
        <v>127.6</v>
      </c>
      <c r="I837">
        <v>131.1</v>
      </c>
      <c r="J837">
        <v>100</v>
      </c>
      <c r="K837">
        <v>100</v>
      </c>
      <c r="L837" s="1" t="s">
        <v>2075</v>
      </c>
      <c r="M837" t="s">
        <v>1094</v>
      </c>
      <c r="N837">
        <v>4</v>
      </c>
    </row>
    <row r="838" spans="1:14" x14ac:dyDescent="0.25">
      <c r="A838" s="3" t="str">
        <f>HYPERLINK("http://www.ncbi.nlm.nih.gov/gene/57511","57511")</f>
        <v>57511</v>
      </c>
      <c r="B838" s="1" t="s">
        <v>2077</v>
      </c>
      <c r="C838" t="s">
        <v>2078</v>
      </c>
      <c r="D838">
        <v>105.5</v>
      </c>
      <c r="E838">
        <v>108.2</v>
      </c>
      <c r="F838">
        <v>99.1</v>
      </c>
      <c r="G838">
        <v>93.9</v>
      </c>
      <c r="H838">
        <v>122.3</v>
      </c>
      <c r="I838">
        <v>125.1</v>
      </c>
      <c r="J838">
        <v>100</v>
      </c>
      <c r="K838">
        <v>100</v>
      </c>
      <c r="L838" s="1" t="s">
        <v>2077</v>
      </c>
      <c r="M838" t="s">
        <v>38</v>
      </c>
      <c r="N838">
        <v>4</v>
      </c>
    </row>
    <row r="839" spans="1:14" x14ac:dyDescent="0.25">
      <c r="A839" s="3" t="str">
        <f>HYPERLINK("http://www.ncbi.nlm.nih.gov/gene/91949","91949")</f>
        <v>91949</v>
      </c>
      <c r="B839" s="1" t="s">
        <v>2079</v>
      </c>
      <c r="C839" t="s">
        <v>2080</v>
      </c>
      <c r="D839">
        <v>121.4</v>
      </c>
      <c r="E839">
        <v>125</v>
      </c>
      <c r="F839">
        <v>100</v>
      </c>
      <c r="G839">
        <v>100</v>
      </c>
      <c r="H839">
        <v>135.19999999999999</v>
      </c>
      <c r="I839">
        <v>139.4</v>
      </c>
      <c r="J839">
        <v>100</v>
      </c>
      <c r="K839">
        <v>100</v>
      </c>
      <c r="L839" s="1" t="s">
        <v>2079</v>
      </c>
      <c r="M839" t="s">
        <v>305</v>
      </c>
      <c r="N839">
        <v>5</v>
      </c>
    </row>
    <row r="840" spans="1:14" x14ac:dyDescent="0.25">
      <c r="A840" s="3" t="str">
        <f>HYPERLINK("http://www.ncbi.nlm.nih.gov/gene/84342","84342")</f>
        <v>84342</v>
      </c>
      <c r="B840" s="1" t="s">
        <v>2081</v>
      </c>
      <c r="C840" t="s">
        <v>2082</v>
      </c>
      <c r="D840">
        <v>137.9</v>
      </c>
      <c r="E840">
        <v>138.69999999999999</v>
      </c>
      <c r="F840">
        <v>99.9</v>
      </c>
      <c r="G840">
        <v>98.6</v>
      </c>
      <c r="H840">
        <v>140.1</v>
      </c>
      <c r="I840">
        <v>145.69999999999999</v>
      </c>
      <c r="J840">
        <v>100</v>
      </c>
      <c r="K840">
        <v>100</v>
      </c>
      <c r="L840" s="1" t="s">
        <v>2081</v>
      </c>
      <c r="M840" t="s">
        <v>1094</v>
      </c>
      <c r="N840">
        <v>4</v>
      </c>
    </row>
    <row r="841" spans="1:14" x14ac:dyDescent="0.25">
      <c r="A841" s="3" t="str">
        <f>HYPERLINK("http://www.ncbi.nlm.nih.gov/gene/1300","1300")</f>
        <v>1300</v>
      </c>
      <c r="B841" s="1" t="s">
        <v>2083</v>
      </c>
      <c r="D841">
        <v>124.9</v>
      </c>
      <c r="E841">
        <v>118</v>
      </c>
      <c r="F841">
        <v>100</v>
      </c>
      <c r="G841">
        <v>98.4</v>
      </c>
      <c r="H841">
        <v>127.6</v>
      </c>
      <c r="I841">
        <v>127.4</v>
      </c>
      <c r="J841">
        <v>100</v>
      </c>
      <c r="K841">
        <v>100</v>
      </c>
      <c r="L841" s="1" t="s">
        <v>2083</v>
      </c>
      <c r="M841" t="s">
        <v>1253</v>
      </c>
      <c r="N841">
        <v>2</v>
      </c>
    </row>
    <row r="842" spans="1:14" x14ac:dyDescent="0.25">
      <c r="A842" s="3" t="str">
        <f>HYPERLINK("http://www.ncbi.nlm.nih.gov/gene/1301","1301")</f>
        <v>1301</v>
      </c>
      <c r="B842" s="1" t="s">
        <v>2084</v>
      </c>
      <c r="C842" t="s">
        <v>2085</v>
      </c>
      <c r="D842">
        <v>110.4</v>
      </c>
      <c r="E842">
        <v>113.4</v>
      </c>
      <c r="F842">
        <v>96.2</v>
      </c>
      <c r="G842">
        <v>92.8</v>
      </c>
      <c r="H842">
        <v>130.30000000000001</v>
      </c>
      <c r="I842">
        <v>133.30000000000001</v>
      </c>
      <c r="J842">
        <v>100</v>
      </c>
      <c r="K842">
        <v>100</v>
      </c>
      <c r="L842" s="1" t="s">
        <v>2084</v>
      </c>
      <c r="M842" t="s">
        <v>2086</v>
      </c>
      <c r="N842">
        <v>8</v>
      </c>
    </row>
    <row r="843" spans="1:14" x14ac:dyDescent="0.25">
      <c r="A843" s="3" t="str">
        <f>HYPERLINK("http://www.ncbi.nlm.nih.gov/gene/1302","1302")</f>
        <v>1302</v>
      </c>
      <c r="B843" s="1" t="s">
        <v>2087</v>
      </c>
      <c r="C843" t="s">
        <v>2088</v>
      </c>
      <c r="D843">
        <v>125.5</v>
      </c>
      <c r="E843">
        <v>127</v>
      </c>
      <c r="F843">
        <v>100</v>
      </c>
      <c r="G843">
        <v>99.7</v>
      </c>
      <c r="H843">
        <v>210.3</v>
      </c>
      <c r="I843">
        <v>213.9</v>
      </c>
      <c r="J843">
        <v>100</v>
      </c>
      <c r="K843">
        <v>100</v>
      </c>
      <c r="L843" s="1" t="s">
        <v>2087</v>
      </c>
      <c r="M843" t="s">
        <v>2089</v>
      </c>
      <c r="N843">
        <v>6</v>
      </c>
    </row>
    <row r="844" spans="1:14" x14ac:dyDescent="0.25">
      <c r="A844" s="3" t="str">
        <f>HYPERLINK("http://www.ncbi.nlm.nih.gov/gene/1303","1303")</f>
        <v>1303</v>
      </c>
      <c r="B844" s="1" t="s">
        <v>2090</v>
      </c>
      <c r="C844" t="s">
        <v>2091</v>
      </c>
      <c r="D844">
        <v>147.6</v>
      </c>
      <c r="E844">
        <v>153.4</v>
      </c>
      <c r="F844">
        <v>100</v>
      </c>
      <c r="G844">
        <v>99.4</v>
      </c>
      <c r="H844">
        <v>146.19999999999999</v>
      </c>
      <c r="I844">
        <v>150.19999999999999</v>
      </c>
      <c r="J844">
        <v>100</v>
      </c>
      <c r="K844">
        <v>100</v>
      </c>
      <c r="L844" s="1" t="s">
        <v>2090</v>
      </c>
      <c r="M844" t="s">
        <v>1933</v>
      </c>
      <c r="N844">
        <v>3</v>
      </c>
    </row>
    <row r="845" spans="1:14" x14ac:dyDescent="0.25">
      <c r="A845" s="3" t="str">
        <f>HYPERLINK("http://www.ncbi.nlm.nih.gov/gene/1305","1305")</f>
        <v>1305</v>
      </c>
      <c r="B845" s="1" t="s">
        <v>2092</v>
      </c>
      <c r="C845" t="s">
        <v>2093</v>
      </c>
      <c r="D845">
        <v>94.4</v>
      </c>
      <c r="E845">
        <v>94.7</v>
      </c>
      <c r="F845">
        <v>93.9</v>
      </c>
      <c r="G845">
        <v>93.8</v>
      </c>
      <c r="H845">
        <v>129</v>
      </c>
      <c r="I845">
        <v>130.5</v>
      </c>
      <c r="J845">
        <v>100</v>
      </c>
      <c r="K845">
        <v>100</v>
      </c>
      <c r="L845" s="1" t="s">
        <v>2092</v>
      </c>
      <c r="M845" t="s">
        <v>1804</v>
      </c>
      <c r="N845">
        <v>3</v>
      </c>
    </row>
    <row r="846" spans="1:14" x14ac:dyDescent="0.25">
      <c r="A846" s="3" t="str">
        <f>HYPERLINK("http://www.ncbi.nlm.nih.gov/gene/7373","7373")</f>
        <v>7373</v>
      </c>
      <c r="B846" s="1" t="s">
        <v>2094</v>
      </c>
      <c r="C846" t="s">
        <v>2095</v>
      </c>
      <c r="D846">
        <v>142.69999999999999</v>
      </c>
      <c r="E846">
        <v>147.9</v>
      </c>
      <c r="F846">
        <v>100</v>
      </c>
      <c r="G846">
        <v>99.4</v>
      </c>
      <c r="H846">
        <v>130.6</v>
      </c>
      <c r="I846">
        <v>134.19999999999999</v>
      </c>
      <c r="J846">
        <v>100</v>
      </c>
      <c r="K846">
        <v>100</v>
      </c>
      <c r="L846" s="1" t="s">
        <v>2094</v>
      </c>
      <c r="M846" t="s">
        <v>29</v>
      </c>
      <c r="N846">
        <v>2</v>
      </c>
    </row>
    <row r="847" spans="1:14" x14ac:dyDescent="0.25">
      <c r="A847" s="3" t="str">
        <f>HYPERLINK("http://www.ncbi.nlm.nih.gov/gene/1308","1308")</f>
        <v>1308</v>
      </c>
      <c r="B847" s="1" t="s">
        <v>2096</v>
      </c>
      <c r="C847" t="s">
        <v>2097</v>
      </c>
      <c r="D847">
        <v>118.1</v>
      </c>
      <c r="E847">
        <v>120.5</v>
      </c>
      <c r="F847">
        <v>98.7</v>
      </c>
      <c r="G847">
        <v>96.8</v>
      </c>
      <c r="H847">
        <v>136.80000000000001</v>
      </c>
      <c r="I847">
        <v>139.5</v>
      </c>
      <c r="J847">
        <v>100</v>
      </c>
      <c r="K847">
        <v>100</v>
      </c>
      <c r="L847" s="1" t="s">
        <v>2096</v>
      </c>
      <c r="M847" t="s">
        <v>2098</v>
      </c>
      <c r="N847">
        <v>3</v>
      </c>
    </row>
    <row r="848" spans="1:14" x14ac:dyDescent="0.25">
      <c r="A848" s="3" t="str">
        <f>HYPERLINK("http://www.ncbi.nlm.nih.gov/gene/80781","80781")</f>
        <v>80781</v>
      </c>
      <c r="B848" s="1" t="s">
        <v>2099</v>
      </c>
      <c r="C848" t="s">
        <v>2100</v>
      </c>
      <c r="D848">
        <v>131.6</v>
      </c>
      <c r="E848">
        <v>123.2</v>
      </c>
      <c r="F848">
        <v>98.1</v>
      </c>
      <c r="G848">
        <v>95.6</v>
      </c>
      <c r="H848">
        <v>149.80000000000001</v>
      </c>
      <c r="I848">
        <v>153</v>
      </c>
      <c r="J848">
        <v>100</v>
      </c>
      <c r="K848">
        <v>100</v>
      </c>
      <c r="L848" s="1" t="s">
        <v>2099</v>
      </c>
      <c r="M848" t="s">
        <v>56</v>
      </c>
      <c r="N848">
        <v>3</v>
      </c>
    </row>
    <row r="849" spans="1:14" x14ac:dyDescent="0.25">
      <c r="A849" s="3" t="str">
        <f>HYPERLINK("http://www.ncbi.nlm.nih.gov/gene/1277","1277")</f>
        <v>1277</v>
      </c>
      <c r="B849" s="1" t="s">
        <v>2101</v>
      </c>
      <c r="C849" t="s">
        <v>2102</v>
      </c>
      <c r="D849">
        <v>152</v>
      </c>
      <c r="E849">
        <v>154.6</v>
      </c>
      <c r="F849">
        <v>99.9</v>
      </c>
      <c r="G849">
        <v>98.6</v>
      </c>
      <c r="H849">
        <v>143.69999999999999</v>
      </c>
      <c r="I849">
        <v>146.30000000000001</v>
      </c>
      <c r="J849">
        <v>100</v>
      </c>
      <c r="K849">
        <v>100</v>
      </c>
      <c r="L849" s="1" t="s">
        <v>2101</v>
      </c>
      <c r="M849" t="s">
        <v>2103</v>
      </c>
      <c r="N849">
        <v>4</v>
      </c>
    </row>
    <row r="850" spans="1:14" x14ac:dyDescent="0.25">
      <c r="A850" s="3" t="str">
        <f>HYPERLINK("http://www.ncbi.nlm.nih.gov/gene/1278","1278")</f>
        <v>1278</v>
      </c>
      <c r="B850" s="1" t="s">
        <v>2104</v>
      </c>
      <c r="C850" t="s">
        <v>2105</v>
      </c>
      <c r="D850">
        <v>116.8</v>
      </c>
      <c r="E850">
        <v>117.5</v>
      </c>
      <c r="F850">
        <v>99.4</v>
      </c>
      <c r="G850">
        <v>96.9</v>
      </c>
      <c r="H850">
        <v>139.6</v>
      </c>
      <c r="I850">
        <v>142</v>
      </c>
      <c r="J850">
        <v>100</v>
      </c>
      <c r="K850">
        <v>100</v>
      </c>
      <c r="L850" s="1" t="s">
        <v>2104</v>
      </c>
      <c r="M850" t="s">
        <v>2106</v>
      </c>
      <c r="N850">
        <v>5</v>
      </c>
    </row>
    <row r="851" spans="1:14" x14ac:dyDescent="0.25">
      <c r="A851" s="3" t="str">
        <f>HYPERLINK("http://www.ncbi.nlm.nih.gov/gene/84570","84570")</f>
        <v>84570</v>
      </c>
      <c r="B851" s="1" t="s">
        <v>2107</v>
      </c>
      <c r="C851" t="s">
        <v>2108</v>
      </c>
      <c r="D851">
        <v>145.9</v>
      </c>
      <c r="E851">
        <v>149.6</v>
      </c>
      <c r="F851">
        <v>95.8</v>
      </c>
      <c r="G851">
        <v>95.3</v>
      </c>
      <c r="H851">
        <v>150</v>
      </c>
      <c r="I851">
        <v>152.69999999999999</v>
      </c>
      <c r="J851">
        <v>99.9</v>
      </c>
      <c r="K851">
        <v>99.9</v>
      </c>
      <c r="L851" s="1" t="s">
        <v>2107</v>
      </c>
      <c r="M851" t="s">
        <v>56</v>
      </c>
      <c r="N851">
        <v>3</v>
      </c>
    </row>
    <row r="852" spans="1:14" x14ac:dyDescent="0.25">
      <c r="A852" s="3" t="str">
        <f>HYPERLINK("http://www.ncbi.nlm.nih.gov/gene/85301","85301")</f>
        <v>85301</v>
      </c>
      <c r="B852" s="1" t="s">
        <v>2109</v>
      </c>
      <c r="C852" t="s">
        <v>2110</v>
      </c>
      <c r="D852">
        <v>169.2</v>
      </c>
      <c r="E852">
        <v>165</v>
      </c>
      <c r="F852">
        <v>99.9</v>
      </c>
      <c r="G852">
        <v>99.7</v>
      </c>
      <c r="H852">
        <v>152.4</v>
      </c>
      <c r="I852">
        <v>152</v>
      </c>
      <c r="J852">
        <v>100</v>
      </c>
      <c r="K852">
        <v>100</v>
      </c>
      <c r="L852" s="1" t="s">
        <v>2109</v>
      </c>
      <c r="M852" t="s">
        <v>1168</v>
      </c>
      <c r="N852">
        <v>3</v>
      </c>
    </row>
    <row r="853" spans="1:14" x14ac:dyDescent="0.25">
      <c r="A853" s="3" t="str">
        <f>HYPERLINK("http://www.ncbi.nlm.nih.gov/gene/1280","1280")</f>
        <v>1280</v>
      </c>
      <c r="B853" s="1" t="s">
        <v>2111</v>
      </c>
      <c r="C853" t="s">
        <v>2112</v>
      </c>
      <c r="D853">
        <v>123.3</v>
      </c>
      <c r="E853">
        <v>125.9</v>
      </c>
      <c r="F853">
        <v>100</v>
      </c>
      <c r="G853">
        <v>99.7</v>
      </c>
      <c r="H853">
        <v>135.80000000000001</v>
      </c>
      <c r="I853">
        <v>138.6</v>
      </c>
      <c r="J853">
        <v>100</v>
      </c>
      <c r="K853">
        <v>100</v>
      </c>
      <c r="L853" s="1" t="s">
        <v>2111</v>
      </c>
      <c r="M853" t="s">
        <v>2113</v>
      </c>
      <c r="N853">
        <v>7</v>
      </c>
    </row>
    <row r="854" spans="1:14" x14ac:dyDescent="0.25">
      <c r="A854" s="3" t="str">
        <f>HYPERLINK("http://www.ncbi.nlm.nih.gov/gene/1281","1281")</f>
        <v>1281</v>
      </c>
      <c r="B854" s="1" t="s">
        <v>2114</v>
      </c>
      <c r="C854" t="s">
        <v>2115</v>
      </c>
      <c r="D854">
        <v>117.1</v>
      </c>
      <c r="E854">
        <v>120.8</v>
      </c>
      <c r="F854">
        <v>99.6</v>
      </c>
      <c r="G854">
        <v>97.6</v>
      </c>
      <c r="H854">
        <v>138.69999999999999</v>
      </c>
      <c r="I854">
        <v>141.30000000000001</v>
      </c>
      <c r="J854">
        <v>100</v>
      </c>
      <c r="K854">
        <v>100</v>
      </c>
      <c r="L854" s="1" t="s">
        <v>2114</v>
      </c>
      <c r="M854" t="s">
        <v>2116</v>
      </c>
      <c r="N854">
        <v>6</v>
      </c>
    </row>
    <row r="855" spans="1:14" x14ac:dyDescent="0.25">
      <c r="A855" s="3" t="str">
        <f>HYPERLINK("http://www.ncbi.nlm.nih.gov/gene/1282","1282")</f>
        <v>1282</v>
      </c>
      <c r="B855" s="1" t="s">
        <v>2117</v>
      </c>
      <c r="C855" t="s">
        <v>2118</v>
      </c>
      <c r="D855">
        <v>113.5</v>
      </c>
      <c r="E855">
        <v>115.6</v>
      </c>
      <c r="F855">
        <v>98.7</v>
      </c>
      <c r="G855">
        <v>97.4</v>
      </c>
      <c r="H855">
        <v>144.1</v>
      </c>
      <c r="I855">
        <v>147.30000000000001</v>
      </c>
      <c r="J855">
        <v>100</v>
      </c>
      <c r="K855">
        <v>100</v>
      </c>
      <c r="L855" s="1" t="s">
        <v>2117</v>
      </c>
      <c r="M855" t="s">
        <v>2119</v>
      </c>
      <c r="N855">
        <v>7</v>
      </c>
    </row>
    <row r="856" spans="1:14" x14ac:dyDescent="0.25">
      <c r="A856" s="3" t="str">
        <f>HYPERLINK("http://www.ncbi.nlm.nih.gov/gene/1284","1284")</f>
        <v>1284</v>
      </c>
      <c r="B856" s="1" t="s">
        <v>2120</v>
      </c>
      <c r="C856" t="s">
        <v>2121</v>
      </c>
      <c r="D856">
        <v>117.3</v>
      </c>
      <c r="E856">
        <v>120.9</v>
      </c>
      <c r="F856">
        <v>100</v>
      </c>
      <c r="G856">
        <v>99.6</v>
      </c>
      <c r="H856">
        <v>144.19999999999999</v>
      </c>
      <c r="I856">
        <v>147.9</v>
      </c>
      <c r="J856">
        <v>100</v>
      </c>
      <c r="K856">
        <v>100</v>
      </c>
      <c r="L856" s="1" t="s">
        <v>2120</v>
      </c>
      <c r="M856" t="s">
        <v>2122</v>
      </c>
      <c r="N856">
        <v>4</v>
      </c>
    </row>
    <row r="857" spans="1:14" x14ac:dyDescent="0.25">
      <c r="A857" s="3" t="str">
        <f>HYPERLINK("http://www.ncbi.nlm.nih.gov/gene/1285","1285")</f>
        <v>1285</v>
      </c>
      <c r="B857" s="1" t="s">
        <v>2123</v>
      </c>
      <c r="C857" t="s">
        <v>2124</v>
      </c>
      <c r="D857">
        <v>109.3</v>
      </c>
      <c r="E857">
        <v>111.1</v>
      </c>
      <c r="F857">
        <v>98.7</v>
      </c>
      <c r="G857">
        <v>98</v>
      </c>
      <c r="H857">
        <v>126.1</v>
      </c>
      <c r="I857">
        <v>129</v>
      </c>
      <c r="J857">
        <v>100</v>
      </c>
      <c r="K857">
        <v>100</v>
      </c>
      <c r="L857" s="1" t="s">
        <v>2123</v>
      </c>
      <c r="M857" t="s">
        <v>2125</v>
      </c>
      <c r="N857">
        <v>5</v>
      </c>
    </row>
    <row r="858" spans="1:14" x14ac:dyDescent="0.25">
      <c r="A858" s="3" t="str">
        <f>HYPERLINK("http://www.ncbi.nlm.nih.gov/gene/1286","1286")</f>
        <v>1286</v>
      </c>
      <c r="B858" s="1" t="s">
        <v>2126</v>
      </c>
      <c r="C858" t="s">
        <v>2127</v>
      </c>
      <c r="D858">
        <v>106.5</v>
      </c>
      <c r="E858">
        <v>107.4</v>
      </c>
      <c r="F858">
        <v>99.9</v>
      </c>
      <c r="G858">
        <v>98.2</v>
      </c>
      <c r="H858">
        <v>140.19999999999999</v>
      </c>
      <c r="I858">
        <v>143.80000000000001</v>
      </c>
      <c r="J858">
        <v>100</v>
      </c>
      <c r="K858">
        <v>100</v>
      </c>
      <c r="L858" s="1" t="s">
        <v>2126</v>
      </c>
      <c r="M858" t="s">
        <v>2128</v>
      </c>
      <c r="N858">
        <v>5</v>
      </c>
    </row>
    <row r="859" spans="1:14" x14ac:dyDescent="0.25">
      <c r="A859" s="3" t="str">
        <f>HYPERLINK("http://www.ncbi.nlm.nih.gov/gene/1287","1287")</f>
        <v>1287</v>
      </c>
      <c r="B859" s="1" t="s">
        <v>2129</v>
      </c>
      <c r="C859" t="s">
        <v>2130</v>
      </c>
      <c r="D859">
        <v>64.900000000000006</v>
      </c>
      <c r="E859">
        <v>66.599999999999994</v>
      </c>
      <c r="F859">
        <v>97.8</v>
      </c>
      <c r="G859">
        <v>89.1</v>
      </c>
      <c r="H859">
        <v>121.1</v>
      </c>
      <c r="I859">
        <v>123.9</v>
      </c>
      <c r="J859">
        <v>100</v>
      </c>
      <c r="K859">
        <v>99.8</v>
      </c>
      <c r="L859" s="1" t="s">
        <v>2129</v>
      </c>
      <c r="M859" t="s">
        <v>2131</v>
      </c>
      <c r="N859">
        <v>4</v>
      </c>
    </row>
    <row r="860" spans="1:14" x14ac:dyDescent="0.25">
      <c r="A860" s="3" t="str">
        <f>HYPERLINK("http://www.ncbi.nlm.nih.gov/gene/1288","1288")</f>
        <v>1288</v>
      </c>
      <c r="B860" s="1" t="s">
        <v>2132</v>
      </c>
      <c r="C860" t="s">
        <v>2133</v>
      </c>
      <c r="D860">
        <v>93.1</v>
      </c>
      <c r="E860">
        <v>95.6</v>
      </c>
      <c r="F860">
        <v>97.5</v>
      </c>
      <c r="G860">
        <v>93.3</v>
      </c>
      <c r="H860">
        <v>132.19999999999999</v>
      </c>
      <c r="I860">
        <v>135.69999999999999</v>
      </c>
      <c r="J860">
        <v>100</v>
      </c>
      <c r="K860">
        <v>99.9</v>
      </c>
      <c r="L860" s="1" t="s">
        <v>2132</v>
      </c>
      <c r="M860" t="s">
        <v>2134</v>
      </c>
      <c r="N860">
        <v>2</v>
      </c>
    </row>
    <row r="861" spans="1:14" x14ac:dyDescent="0.25">
      <c r="A861" s="3" t="str">
        <f>HYPERLINK("http://www.ncbi.nlm.nih.gov/gene/1289","1289")</f>
        <v>1289</v>
      </c>
      <c r="B861" s="1" t="s">
        <v>2135</v>
      </c>
      <c r="C861" t="s">
        <v>2136</v>
      </c>
      <c r="D861">
        <v>155.4</v>
      </c>
      <c r="E861">
        <v>159.9</v>
      </c>
      <c r="F861">
        <v>98.8</v>
      </c>
      <c r="G861">
        <v>98</v>
      </c>
      <c r="H861">
        <v>138</v>
      </c>
      <c r="I861">
        <v>140.4</v>
      </c>
      <c r="J861">
        <v>100</v>
      </c>
      <c r="K861">
        <v>99.9</v>
      </c>
      <c r="L861" s="1" t="s">
        <v>2135</v>
      </c>
      <c r="M861" t="s">
        <v>211</v>
      </c>
      <c r="N861">
        <v>4</v>
      </c>
    </row>
    <row r="862" spans="1:14" x14ac:dyDescent="0.25">
      <c r="A862" s="3" t="str">
        <f>HYPERLINK("http://www.ncbi.nlm.nih.gov/gene/1290","1290")</f>
        <v>1290</v>
      </c>
      <c r="B862" s="1" t="s">
        <v>2137</v>
      </c>
      <c r="C862" t="s">
        <v>2138</v>
      </c>
      <c r="D862">
        <v>119.3</v>
      </c>
      <c r="E862">
        <v>121.3</v>
      </c>
      <c r="F862">
        <v>100</v>
      </c>
      <c r="G862">
        <v>99.5</v>
      </c>
      <c r="H862">
        <v>131.19999999999999</v>
      </c>
      <c r="I862">
        <v>133.6</v>
      </c>
      <c r="J862">
        <v>100</v>
      </c>
      <c r="K862">
        <v>100</v>
      </c>
      <c r="L862" s="1" t="s">
        <v>2137</v>
      </c>
      <c r="M862" t="s">
        <v>211</v>
      </c>
      <c r="N862">
        <v>4</v>
      </c>
    </row>
    <row r="863" spans="1:14" x14ac:dyDescent="0.25">
      <c r="A863" s="3" t="str">
        <f>HYPERLINK("http://www.ncbi.nlm.nih.gov/gene/1291","1291")</f>
        <v>1291</v>
      </c>
      <c r="B863" s="1" t="s">
        <v>2139</v>
      </c>
      <c r="C863" t="s">
        <v>2140</v>
      </c>
      <c r="D863">
        <v>144.4</v>
      </c>
      <c r="E863">
        <v>149.19999999999999</v>
      </c>
      <c r="F863">
        <v>100</v>
      </c>
      <c r="G863">
        <v>99.4</v>
      </c>
      <c r="H863">
        <v>141.5</v>
      </c>
      <c r="I863">
        <v>142.1</v>
      </c>
      <c r="J863">
        <v>100</v>
      </c>
      <c r="K863">
        <v>100</v>
      </c>
      <c r="L863" s="1" t="s">
        <v>2139</v>
      </c>
      <c r="M863" t="s">
        <v>2141</v>
      </c>
      <c r="N863">
        <v>5</v>
      </c>
    </row>
    <row r="864" spans="1:14" x14ac:dyDescent="0.25">
      <c r="A864" s="3" t="str">
        <f>HYPERLINK("http://www.ncbi.nlm.nih.gov/gene/1292","1292")</f>
        <v>1292</v>
      </c>
      <c r="B864" s="1" t="s">
        <v>2142</v>
      </c>
      <c r="C864" t="s">
        <v>2143</v>
      </c>
      <c r="D864">
        <v>158.4</v>
      </c>
      <c r="E864">
        <v>161</v>
      </c>
      <c r="F864">
        <v>100</v>
      </c>
      <c r="G864">
        <v>99.8</v>
      </c>
      <c r="H864">
        <v>148.30000000000001</v>
      </c>
      <c r="I864">
        <v>150.19999999999999</v>
      </c>
      <c r="J864">
        <v>100</v>
      </c>
      <c r="K864">
        <v>100</v>
      </c>
      <c r="L864" s="1" t="s">
        <v>2142</v>
      </c>
      <c r="M864" t="s">
        <v>2141</v>
      </c>
      <c r="N864">
        <v>5</v>
      </c>
    </row>
    <row r="865" spans="1:14" x14ac:dyDescent="0.25">
      <c r="A865" s="3" t="str">
        <f>HYPERLINK("http://www.ncbi.nlm.nih.gov/gene/1293","1293")</f>
        <v>1293</v>
      </c>
      <c r="B865" s="1" t="s">
        <v>2144</v>
      </c>
      <c r="C865" t="s">
        <v>2145</v>
      </c>
      <c r="D865">
        <v>174.9</v>
      </c>
      <c r="E865">
        <v>171.8</v>
      </c>
      <c r="F865">
        <v>100</v>
      </c>
      <c r="G865">
        <v>99.8</v>
      </c>
      <c r="H865">
        <v>149.1</v>
      </c>
      <c r="I865">
        <v>150.5</v>
      </c>
      <c r="J865">
        <v>100</v>
      </c>
      <c r="K865">
        <v>100</v>
      </c>
      <c r="L865" s="1" t="s">
        <v>2144</v>
      </c>
      <c r="M865" t="s">
        <v>2141</v>
      </c>
      <c r="N865">
        <v>5</v>
      </c>
    </row>
    <row r="866" spans="1:14" x14ac:dyDescent="0.25">
      <c r="A866" s="3" t="str">
        <f>HYPERLINK("http://www.ncbi.nlm.nih.gov/gene/256076","256076")</f>
        <v>256076</v>
      </c>
      <c r="B866" s="1" t="s">
        <v>2146</v>
      </c>
      <c r="C866" t="s">
        <v>2147</v>
      </c>
      <c r="D866">
        <v>165.4</v>
      </c>
      <c r="E866">
        <v>163.1</v>
      </c>
      <c r="F866">
        <v>99.9</v>
      </c>
      <c r="G866">
        <v>99.5</v>
      </c>
      <c r="H866">
        <v>149.4</v>
      </c>
      <c r="I866">
        <v>150.4</v>
      </c>
      <c r="J866">
        <v>100</v>
      </c>
      <c r="K866">
        <v>100</v>
      </c>
      <c r="L866" s="1" t="s">
        <v>2146</v>
      </c>
      <c r="M866" t="s">
        <v>856</v>
      </c>
      <c r="N866">
        <v>3</v>
      </c>
    </row>
    <row r="867" spans="1:14" x14ac:dyDescent="0.25">
      <c r="A867" s="3" t="str">
        <f>HYPERLINK("http://www.ncbi.nlm.nih.gov/gene/1294","1294")</f>
        <v>1294</v>
      </c>
      <c r="B867" s="1" t="s">
        <v>2148</v>
      </c>
      <c r="C867" t="s">
        <v>2149</v>
      </c>
      <c r="D867">
        <v>151.69999999999999</v>
      </c>
      <c r="E867">
        <v>152.5</v>
      </c>
      <c r="F867">
        <v>99.9</v>
      </c>
      <c r="G867">
        <v>99.1</v>
      </c>
      <c r="H867">
        <v>142.5</v>
      </c>
      <c r="I867">
        <v>144.5</v>
      </c>
      <c r="J867">
        <v>100</v>
      </c>
      <c r="K867">
        <v>100</v>
      </c>
      <c r="L867" s="1" t="s">
        <v>2148</v>
      </c>
      <c r="M867" t="s">
        <v>2150</v>
      </c>
      <c r="N867">
        <v>4</v>
      </c>
    </row>
    <row r="868" spans="1:14" x14ac:dyDescent="0.25">
      <c r="A868" s="3" t="str">
        <f>HYPERLINK("http://www.ncbi.nlm.nih.gov/gene/1296","1296")</f>
        <v>1296</v>
      </c>
      <c r="B868" s="1" t="s">
        <v>2151</v>
      </c>
      <c r="C868" t="s">
        <v>2152</v>
      </c>
      <c r="D868">
        <v>95.7</v>
      </c>
      <c r="E868">
        <v>89.1</v>
      </c>
      <c r="F868">
        <v>99.9</v>
      </c>
      <c r="G868">
        <v>97.9</v>
      </c>
      <c r="H868">
        <v>117.7</v>
      </c>
      <c r="I868">
        <v>119</v>
      </c>
      <c r="J868">
        <v>100</v>
      </c>
      <c r="K868">
        <v>100</v>
      </c>
      <c r="L868" s="1" t="s">
        <v>2151</v>
      </c>
      <c r="M868" t="s">
        <v>302</v>
      </c>
      <c r="N868">
        <v>2</v>
      </c>
    </row>
    <row r="869" spans="1:14" x14ac:dyDescent="0.25">
      <c r="A869" s="3" t="str">
        <f>HYPERLINK("http://www.ncbi.nlm.nih.gov/gene/1297","1297")</f>
        <v>1297</v>
      </c>
      <c r="B869" s="1" t="s">
        <v>2153</v>
      </c>
      <c r="C869" t="s">
        <v>2154</v>
      </c>
      <c r="D869">
        <v>156.9</v>
      </c>
      <c r="E869">
        <v>159.80000000000001</v>
      </c>
      <c r="F869">
        <v>100</v>
      </c>
      <c r="G869">
        <v>99.2</v>
      </c>
      <c r="H869">
        <v>132.5</v>
      </c>
      <c r="I869">
        <v>134.30000000000001</v>
      </c>
      <c r="J869">
        <v>100</v>
      </c>
      <c r="K869">
        <v>100</v>
      </c>
      <c r="L869" s="1" t="s">
        <v>2153</v>
      </c>
      <c r="M869" t="s">
        <v>2155</v>
      </c>
      <c r="N869">
        <v>7</v>
      </c>
    </row>
    <row r="870" spans="1:14" x14ac:dyDescent="0.25">
      <c r="A870" s="3" t="str">
        <f>HYPERLINK("http://www.ncbi.nlm.nih.gov/gene/1298","1298")</f>
        <v>1298</v>
      </c>
      <c r="B870" s="1" t="s">
        <v>2156</v>
      </c>
      <c r="C870" t="s">
        <v>2157</v>
      </c>
      <c r="D870">
        <v>102.4</v>
      </c>
      <c r="E870">
        <v>103.5</v>
      </c>
      <c r="F870">
        <v>99.9</v>
      </c>
      <c r="G870">
        <v>99</v>
      </c>
      <c r="H870">
        <v>134.19999999999999</v>
      </c>
      <c r="I870">
        <v>136</v>
      </c>
      <c r="J870">
        <v>100</v>
      </c>
      <c r="K870">
        <v>100</v>
      </c>
      <c r="L870" s="1" t="s">
        <v>2156</v>
      </c>
      <c r="M870" t="s">
        <v>2158</v>
      </c>
      <c r="N870">
        <v>6</v>
      </c>
    </row>
    <row r="871" spans="1:14" x14ac:dyDescent="0.25">
      <c r="A871" s="3" t="str">
        <f>HYPERLINK("http://www.ncbi.nlm.nih.gov/gene/1299","1299")</f>
        <v>1299</v>
      </c>
      <c r="B871" s="1" t="s">
        <v>2159</v>
      </c>
      <c r="C871" t="s">
        <v>2160</v>
      </c>
      <c r="D871">
        <v>109.6</v>
      </c>
      <c r="E871">
        <v>109.1</v>
      </c>
      <c r="F871">
        <v>98.7</v>
      </c>
      <c r="G871">
        <v>95.5</v>
      </c>
      <c r="H871">
        <v>137.1</v>
      </c>
      <c r="I871">
        <v>139</v>
      </c>
      <c r="J871">
        <v>99.7</v>
      </c>
      <c r="K871">
        <v>98.6</v>
      </c>
      <c r="L871" s="1" t="s">
        <v>2159</v>
      </c>
      <c r="M871" t="s">
        <v>2161</v>
      </c>
      <c r="N871">
        <v>5</v>
      </c>
    </row>
    <row r="872" spans="1:14" x14ac:dyDescent="0.25">
      <c r="A872" s="3" t="str">
        <f>HYPERLINK("http://www.ncbi.nlm.nih.gov/gene/10584","10584")</f>
        <v>10584</v>
      </c>
      <c r="B872" s="1" t="s">
        <v>2162</v>
      </c>
      <c r="C872" t="s">
        <v>2163</v>
      </c>
      <c r="D872">
        <v>136.80000000000001</v>
      </c>
      <c r="E872">
        <v>140.4</v>
      </c>
      <c r="F872">
        <v>100</v>
      </c>
      <c r="G872">
        <v>100</v>
      </c>
      <c r="H872">
        <v>135.5</v>
      </c>
      <c r="I872">
        <v>139.69999999999999</v>
      </c>
      <c r="J872">
        <v>100</v>
      </c>
      <c r="K872">
        <v>100</v>
      </c>
      <c r="L872" s="1" t="s">
        <v>2162</v>
      </c>
      <c r="M872" t="s">
        <v>2164</v>
      </c>
      <c r="N872">
        <v>3</v>
      </c>
    </row>
    <row r="873" spans="1:14" x14ac:dyDescent="0.25">
      <c r="A873" s="3" t="str">
        <f>HYPERLINK("http://www.ncbi.nlm.nih.gov/gene/78989","78989")</f>
        <v>78989</v>
      </c>
      <c r="B873" s="1" t="s">
        <v>2165</v>
      </c>
      <c r="C873" t="s">
        <v>2166</v>
      </c>
      <c r="D873">
        <v>173.7</v>
      </c>
      <c r="E873">
        <v>178.1</v>
      </c>
      <c r="F873">
        <v>100</v>
      </c>
      <c r="G873">
        <v>100</v>
      </c>
      <c r="H873">
        <v>160.69999999999999</v>
      </c>
      <c r="I873">
        <v>165.1</v>
      </c>
      <c r="J873">
        <v>100</v>
      </c>
      <c r="K873">
        <v>100</v>
      </c>
      <c r="L873" s="1" t="s">
        <v>2165</v>
      </c>
      <c r="M873" t="s">
        <v>2167</v>
      </c>
      <c r="N873">
        <v>7</v>
      </c>
    </row>
    <row r="874" spans="1:14" x14ac:dyDescent="0.25">
      <c r="A874" s="3" t="str">
        <f>HYPERLINK("http://www.ncbi.nlm.nih.gov/gene/79709","79709")</f>
        <v>79709</v>
      </c>
      <c r="B874" s="1" t="s">
        <v>2168</v>
      </c>
      <c r="C874" t="s">
        <v>2169</v>
      </c>
      <c r="D874">
        <v>176.6</v>
      </c>
      <c r="E874">
        <v>181.2</v>
      </c>
      <c r="F874">
        <v>93.3</v>
      </c>
      <c r="G874">
        <v>89</v>
      </c>
      <c r="H874">
        <v>120.5</v>
      </c>
      <c r="I874">
        <v>124.9</v>
      </c>
      <c r="J874">
        <v>98.6</v>
      </c>
      <c r="K874">
        <v>97</v>
      </c>
      <c r="L874" s="1" t="s">
        <v>2168</v>
      </c>
      <c r="M874" t="s">
        <v>2040</v>
      </c>
      <c r="N874">
        <v>3</v>
      </c>
    </row>
    <row r="875" spans="1:14" x14ac:dyDescent="0.25">
      <c r="A875" s="3" t="str">
        <f>HYPERLINK("http://www.ncbi.nlm.nih.gov/gene/8292","8292")</f>
        <v>8292</v>
      </c>
      <c r="B875" s="1" t="s">
        <v>2170</v>
      </c>
      <c r="C875" t="s">
        <v>2171</v>
      </c>
      <c r="D875">
        <v>110.9</v>
      </c>
      <c r="E875">
        <v>113.9</v>
      </c>
      <c r="F875">
        <v>100</v>
      </c>
      <c r="G875">
        <v>99.2</v>
      </c>
      <c r="H875">
        <v>141.4</v>
      </c>
      <c r="I875">
        <v>144.1</v>
      </c>
      <c r="J875">
        <v>100</v>
      </c>
      <c r="K875">
        <v>100</v>
      </c>
      <c r="L875" s="1" t="s">
        <v>2170</v>
      </c>
      <c r="M875" t="s">
        <v>1804</v>
      </c>
      <c r="N875">
        <v>3</v>
      </c>
    </row>
    <row r="876" spans="1:14" x14ac:dyDescent="0.25">
      <c r="A876" s="3" t="str">
        <f>HYPERLINK("http://www.ncbi.nlm.nih.gov/gene/1311","1311")</f>
        <v>1311</v>
      </c>
      <c r="B876" s="1" t="s">
        <v>2172</v>
      </c>
      <c r="C876" t="s">
        <v>2173</v>
      </c>
      <c r="D876">
        <v>122.7</v>
      </c>
      <c r="E876">
        <v>125.4</v>
      </c>
      <c r="F876">
        <v>93.4</v>
      </c>
      <c r="G876">
        <v>92.3</v>
      </c>
      <c r="H876">
        <v>146.80000000000001</v>
      </c>
      <c r="I876">
        <v>150</v>
      </c>
      <c r="J876">
        <v>100</v>
      </c>
      <c r="K876">
        <v>100</v>
      </c>
      <c r="L876" s="1" t="s">
        <v>2172</v>
      </c>
      <c r="M876" t="s">
        <v>1253</v>
      </c>
      <c r="N876">
        <v>2</v>
      </c>
    </row>
    <row r="877" spans="1:14" x14ac:dyDescent="0.25">
      <c r="A877" s="3" t="str">
        <f>HYPERLINK("http://www.ncbi.nlm.nih.gov/gene/1312","1312")</f>
        <v>1312</v>
      </c>
      <c r="B877" s="1" t="s">
        <v>2174</v>
      </c>
      <c r="C877" t="s">
        <v>2175</v>
      </c>
      <c r="D877">
        <v>140.69999999999999</v>
      </c>
      <c r="E877">
        <v>152.30000000000001</v>
      </c>
      <c r="F877">
        <v>100</v>
      </c>
      <c r="G877">
        <v>99.9</v>
      </c>
      <c r="H877">
        <v>151.6</v>
      </c>
      <c r="I877">
        <v>157.9</v>
      </c>
      <c r="J877">
        <v>100</v>
      </c>
      <c r="K877">
        <v>100</v>
      </c>
      <c r="L877" s="1" t="s">
        <v>2174</v>
      </c>
      <c r="M877" t="s">
        <v>93</v>
      </c>
      <c r="N877">
        <v>2</v>
      </c>
    </row>
    <row r="878" spans="1:14" x14ac:dyDescent="0.25">
      <c r="A878" s="3" t="str">
        <f>HYPERLINK("http://www.ncbi.nlm.nih.gov/gene/1314","1314")</f>
        <v>1314</v>
      </c>
      <c r="B878" s="1" t="s">
        <v>2176</v>
      </c>
      <c r="C878" t="s">
        <v>2177</v>
      </c>
      <c r="D878">
        <v>131.30000000000001</v>
      </c>
      <c r="E878">
        <v>133.6</v>
      </c>
      <c r="F878">
        <v>100</v>
      </c>
      <c r="G878">
        <v>99.2</v>
      </c>
      <c r="H878">
        <v>133.30000000000001</v>
      </c>
      <c r="I878">
        <v>136.4</v>
      </c>
      <c r="J878">
        <v>100</v>
      </c>
      <c r="K878">
        <v>100</v>
      </c>
      <c r="L878" s="1" t="s">
        <v>2176</v>
      </c>
      <c r="M878" t="s">
        <v>562</v>
      </c>
      <c r="N878">
        <v>2</v>
      </c>
    </row>
    <row r="879" spans="1:14" x14ac:dyDescent="0.25">
      <c r="A879" s="3" t="str">
        <f>HYPERLINK("http://www.ncbi.nlm.nih.gov/gene/9276","9276")</f>
        <v>9276</v>
      </c>
      <c r="B879" s="1" t="s">
        <v>2178</v>
      </c>
      <c r="C879" t="s">
        <v>2179</v>
      </c>
      <c r="D879">
        <v>162.6</v>
      </c>
      <c r="E879">
        <v>169.7</v>
      </c>
      <c r="F879">
        <v>99.9</v>
      </c>
      <c r="G879">
        <v>99.3</v>
      </c>
      <c r="H879">
        <v>145.80000000000001</v>
      </c>
      <c r="I879">
        <v>149.69999999999999</v>
      </c>
      <c r="J879">
        <v>100</v>
      </c>
      <c r="K879">
        <v>100</v>
      </c>
      <c r="L879" s="1" t="s">
        <v>2178</v>
      </c>
      <c r="M879" t="s">
        <v>53</v>
      </c>
      <c r="N879">
        <v>2</v>
      </c>
    </row>
    <row r="880" spans="1:14" x14ac:dyDescent="0.25">
      <c r="A880" s="3" t="str">
        <f>HYPERLINK("http://www.ncbi.nlm.nih.gov/gene/27235","27235")</f>
        <v>27235</v>
      </c>
      <c r="B880" s="1" t="s">
        <v>2180</v>
      </c>
      <c r="C880" t="s">
        <v>2181</v>
      </c>
      <c r="D880">
        <v>121</v>
      </c>
      <c r="E880">
        <v>113.1</v>
      </c>
      <c r="F880">
        <v>98</v>
      </c>
      <c r="G880">
        <v>95.3</v>
      </c>
      <c r="H880">
        <v>121.1</v>
      </c>
      <c r="I880">
        <v>123.4</v>
      </c>
      <c r="J880">
        <v>97.2</v>
      </c>
      <c r="K880">
        <v>97.2</v>
      </c>
      <c r="L880" s="1" t="s">
        <v>2180</v>
      </c>
      <c r="M880" t="s">
        <v>2182</v>
      </c>
      <c r="N880">
        <v>9</v>
      </c>
    </row>
    <row r="881" spans="1:14" x14ac:dyDescent="0.25">
      <c r="A881" s="3" t="str">
        <f>HYPERLINK("http://www.ncbi.nlm.nih.gov/gene/51117","51117")</f>
        <v>51117</v>
      </c>
      <c r="B881" s="1" t="s">
        <v>2183</v>
      </c>
      <c r="C881" t="s">
        <v>2184</v>
      </c>
      <c r="D881">
        <v>97.8</v>
      </c>
      <c r="E881">
        <v>98.8</v>
      </c>
      <c r="F881">
        <v>90.9</v>
      </c>
      <c r="G881">
        <v>89.3</v>
      </c>
      <c r="H881">
        <v>124.1</v>
      </c>
      <c r="I881">
        <v>126.8</v>
      </c>
      <c r="J881">
        <v>100</v>
      </c>
      <c r="K881">
        <v>100</v>
      </c>
      <c r="L881" s="1" t="s">
        <v>2183</v>
      </c>
      <c r="M881" t="s">
        <v>2185</v>
      </c>
      <c r="N881">
        <v>7</v>
      </c>
    </row>
    <row r="882" spans="1:14" x14ac:dyDescent="0.25">
      <c r="A882" s="3" t="str">
        <f>HYPERLINK("http://www.ncbi.nlm.nih.gov/gene/84274","84274")</f>
        <v>84274</v>
      </c>
      <c r="B882" s="1" t="s">
        <v>2186</v>
      </c>
      <c r="C882" t="s">
        <v>2187</v>
      </c>
      <c r="D882">
        <v>191.5</v>
      </c>
      <c r="E882">
        <v>196.7</v>
      </c>
      <c r="F882">
        <v>100</v>
      </c>
      <c r="G882">
        <v>100</v>
      </c>
      <c r="H882">
        <v>132.80000000000001</v>
      </c>
      <c r="I882">
        <v>136.69999999999999</v>
      </c>
      <c r="J882">
        <v>100</v>
      </c>
      <c r="K882">
        <v>100</v>
      </c>
      <c r="L882" s="1" t="s">
        <v>2186</v>
      </c>
      <c r="M882" t="s">
        <v>2188</v>
      </c>
      <c r="N882">
        <v>3</v>
      </c>
    </row>
    <row r="883" spans="1:14" x14ac:dyDescent="0.25">
      <c r="A883" s="3" t="str">
        <f>HYPERLINK("http://www.ncbi.nlm.nih.gov/gene/51004","51004")</f>
        <v>51004</v>
      </c>
      <c r="B883" s="1" t="s">
        <v>2189</v>
      </c>
      <c r="C883" t="s">
        <v>2190</v>
      </c>
      <c r="D883">
        <v>142.19999999999999</v>
      </c>
      <c r="E883">
        <v>143.6</v>
      </c>
      <c r="F883">
        <v>99.9</v>
      </c>
      <c r="G883">
        <v>98.4</v>
      </c>
      <c r="H883">
        <v>150</v>
      </c>
      <c r="I883">
        <v>154.1</v>
      </c>
      <c r="J883">
        <v>100</v>
      </c>
      <c r="K883">
        <v>100</v>
      </c>
      <c r="L883" s="1" t="s">
        <v>2189</v>
      </c>
      <c r="M883" t="s">
        <v>2191</v>
      </c>
      <c r="N883">
        <v>6</v>
      </c>
    </row>
    <row r="884" spans="1:14" x14ac:dyDescent="0.25">
      <c r="A884" s="3" t="str">
        <f>HYPERLINK("http://www.ncbi.nlm.nih.gov/gene/10229","10229")</f>
        <v>10229</v>
      </c>
      <c r="B884" s="1" t="s">
        <v>2192</v>
      </c>
      <c r="C884" t="s">
        <v>2193</v>
      </c>
      <c r="D884">
        <v>153.9</v>
      </c>
      <c r="E884">
        <v>161.69999999999999</v>
      </c>
      <c r="F884">
        <v>100</v>
      </c>
      <c r="G884">
        <v>99.8</v>
      </c>
      <c r="H884">
        <v>136.19999999999999</v>
      </c>
      <c r="I884">
        <v>139.9</v>
      </c>
      <c r="J884">
        <v>100</v>
      </c>
      <c r="K884">
        <v>100</v>
      </c>
      <c r="L884" s="1" t="s">
        <v>2192</v>
      </c>
      <c r="M884" t="s">
        <v>2194</v>
      </c>
      <c r="N884">
        <v>5</v>
      </c>
    </row>
    <row r="885" spans="1:14" x14ac:dyDescent="0.25">
      <c r="A885" s="3" t="str">
        <f>HYPERLINK("http://www.ncbi.nlm.nih.gov/gene/56997","56997")</f>
        <v>56997</v>
      </c>
      <c r="B885" s="1" t="s">
        <v>2195</v>
      </c>
      <c r="C885" t="s">
        <v>2196</v>
      </c>
      <c r="D885">
        <v>163.69999999999999</v>
      </c>
      <c r="E885">
        <v>164.9</v>
      </c>
      <c r="F885">
        <v>100</v>
      </c>
      <c r="G885">
        <v>99.5</v>
      </c>
      <c r="H885">
        <v>146.19999999999999</v>
      </c>
      <c r="I885">
        <v>149.4</v>
      </c>
      <c r="J885">
        <v>100</v>
      </c>
      <c r="K885">
        <v>100</v>
      </c>
      <c r="L885" s="1" t="s">
        <v>2195</v>
      </c>
      <c r="M885" t="s">
        <v>2185</v>
      </c>
      <c r="N885">
        <v>7</v>
      </c>
    </row>
    <row r="886" spans="1:14" x14ac:dyDescent="0.25">
      <c r="A886" s="3" t="str">
        <f>HYPERLINK("http://www.ncbi.nlm.nih.gov/gene/79934","79934")</f>
        <v>79934</v>
      </c>
      <c r="B886" s="1" t="s">
        <v>2197</v>
      </c>
      <c r="C886" t="s">
        <v>2198</v>
      </c>
      <c r="D886">
        <v>105.1</v>
      </c>
      <c r="E886">
        <v>102.1</v>
      </c>
      <c r="F886">
        <v>100</v>
      </c>
      <c r="G886">
        <v>99.3</v>
      </c>
      <c r="H886">
        <v>133.19999999999999</v>
      </c>
      <c r="I886">
        <v>135.5</v>
      </c>
      <c r="J886">
        <v>100</v>
      </c>
      <c r="K886">
        <v>100</v>
      </c>
      <c r="L886" s="1" t="s">
        <v>2197</v>
      </c>
      <c r="M886" t="s">
        <v>2194</v>
      </c>
      <c r="N886">
        <v>5</v>
      </c>
    </row>
    <row r="887" spans="1:14" x14ac:dyDescent="0.25">
      <c r="A887" s="3" t="str">
        <f>HYPERLINK("http://www.ncbi.nlm.nih.gov/gene/57017","57017")</f>
        <v>57017</v>
      </c>
      <c r="B887" s="1" t="s">
        <v>2199</v>
      </c>
      <c r="C887" t="s">
        <v>2200</v>
      </c>
      <c r="D887">
        <v>76.3</v>
      </c>
      <c r="E887">
        <v>79.400000000000006</v>
      </c>
      <c r="F887">
        <v>100</v>
      </c>
      <c r="G887">
        <v>97.9</v>
      </c>
      <c r="H887">
        <v>128.69999999999999</v>
      </c>
      <c r="I887">
        <v>132.1</v>
      </c>
      <c r="J887">
        <v>100</v>
      </c>
      <c r="K887">
        <v>100</v>
      </c>
      <c r="L887" s="1" t="s">
        <v>2199</v>
      </c>
      <c r="M887" t="s">
        <v>2201</v>
      </c>
      <c r="N887">
        <v>7</v>
      </c>
    </row>
    <row r="888" spans="1:14" x14ac:dyDescent="0.25">
      <c r="A888" s="3" t="str">
        <f>HYPERLINK("http://www.ncbi.nlm.nih.gov/gene/10699","10699")</f>
        <v>10699</v>
      </c>
      <c r="B888" s="1" t="s">
        <v>2202</v>
      </c>
      <c r="C888" t="s">
        <v>2203</v>
      </c>
      <c r="D888">
        <v>161.30000000000001</v>
      </c>
      <c r="E888">
        <v>167.5</v>
      </c>
      <c r="F888">
        <v>100</v>
      </c>
      <c r="G888">
        <v>99.9</v>
      </c>
      <c r="H888">
        <v>139.6</v>
      </c>
      <c r="I888">
        <v>143.6</v>
      </c>
      <c r="J888">
        <v>100</v>
      </c>
      <c r="K888">
        <v>100</v>
      </c>
      <c r="L888" s="1" t="s">
        <v>2202</v>
      </c>
      <c r="M888" t="s">
        <v>22</v>
      </c>
      <c r="N888">
        <v>1</v>
      </c>
    </row>
    <row r="889" spans="1:14" x14ac:dyDescent="0.25">
      <c r="A889" s="3" t="str">
        <f>HYPERLINK("http://www.ncbi.nlm.nih.gov/gene/11151","11151")</f>
        <v>11151</v>
      </c>
      <c r="B889" s="1" t="s">
        <v>2204</v>
      </c>
      <c r="C889" t="s">
        <v>2205</v>
      </c>
      <c r="D889">
        <v>144.4</v>
      </c>
      <c r="E889">
        <v>144.9</v>
      </c>
      <c r="F889">
        <v>100</v>
      </c>
      <c r="G889">
        <v>98.6</v>
      </c>
      <c r="H889">
        <v>141.80000000000001</v>
      </c>
      <c r="I889">
        <v>145.19999999999999</v>
      </c>
      <c r="J889">
        <v>100</v>
      </c>
      <c r="K889">
        <v>100</v>
      </c>
      <c r="L889" s="1" t="s">
        <v>2204</v>
      </c>
      <c r="M889" t="s">
        <v>1551</v>
      </c>
      <c r="N889">
        <v>4</v>
      </c>
    </row>
    <row r="890" spans="1:14" x14ac:dyDescent="0.25">
      <c r="A890" s="3" t="str">
        <f>HYPERLINK("http://www.ncbi.nlm.nih.gov/gene/1352","1352")</f>
        <v>1352</v>
      </c>
      <c r="B890" s="1" t="s">
        <v>2206</v>
      </c>
      <c r="C890" t="s">
        <v>2207</v>
      </c>
      <c r="D890">
        <v>203.1</v>
      </c>
      <c r="E890">
        <v>211.4</v>
      </c>
      <c r="F890">
        <v>100</v>
      </c>
      <c r="G890">
        <v>100</v>
      </c>
      <c r="H890">
        <v>169.7</v>
      </c>
      <c r="I890">
        <v>168.5</v>
      </c>
      <c r="J890">
        <v>100</v>
      </c>
      <c r="K890">
        <v>100</v>
      </c>
      <c r="L890" s="1" t="s">
        <v>2206</v>
      </c>
      <c r="M890" t="s">
        <v>2208</v>
      </c>
      <c r="N890">
        <v>4</v>
      </c>
    </row>
    <row r="891" spans="1:14" x14ac:dyDescent="0.25">
      <c r="A891" s="3" t="str">
        <f>HYPERLINK("http://www.ncbi.nlm.nih.gov/gene/84987","84987")</f>
        <v>84987</v>
      </c>
      <c r="B891" s="1" t="s">
        <v>2209</v>
      </c>
      <c r="C891" t="s">
        <v>2210</v>
      </c>
      <c r="D891">
        <v>104.4</v>
      </c>
      <c r="E891">
        <v>115.3</v>
      </c>
      <c r="F891">
        <v>100</v>
      </c>
      <c r="G891">
        <v>100</v>
      </c>
      <c r="H891">
        <v>138.1</v>
      </c>
      <c r="I891">
        <v>143.1</v>
      </c>
      <c r="J891">
        <v>100</v>
      </c>
      <c r="K891">
        <v>100</v>
      </c>
      <c r="L891" s="1" t="s">
        <v>2209</v>
      </c>
      <c r="M891" t="s">
        <v>905</v>
      </c>
      <c r="N891">
        <v>3</v>
      </c>
    </row>
    <row r="892" spans="1:14" x14ac:dyDescent="0.25">
      <c r="A892" s="3" t="str">
        <f>HYPERLINK("http://www.ncbi.nlm.nih.gov/gene/1355","1355")</f>
        <v>1355</v>
      </c>
      <c r="B892" s="1" t="s">
        <v>2211</v>
      </c>
      <c r="C892" t="s">
        <v>2212</v>
      </c>
      <c r="D892">
        <v>101.1</v>
      </c>
      <c r="E892">
        <v>106</v>
      </c>
      <c r="F892">
        <v>99.9</v>
      </c>
      <c r="G892">
        <v>98.8</v>
      </c>
      <c r="H892">
        <v>134.19999999999999</v>
      </c>
      <c r="I892">
        <v>137.5</v>
      </c>
      <c r="J892">
        <v>100</v>
      </c>
      <c r="K892">
        <v>100</v>
      </c>
      <c r="L892" s="1" t="s">
        <v>2211</v>
      </c>
      <c r="M892" t="s">
        <v>2213</v>
      </c>
      <c r="N892">
        <v>6</v>
      </c>
    </row>
    <row r="893" spans="1:14" x14ac:dyDescent="0.25">
      <c r="A893" s="3" t="str">
        <f>HYPERLINK("http://www.ncbi.nlm.nih.gov/gene/51241","51241")</f>
        <v>51241</v>
      </c>
      <c r="B893" s="1" t="s">
        <v>2214</v>
      </c>
      <c r="C893" t="s">
        <v>2215</v>
      </c>
      <c r="D893">
        <v>83.7</v>
      </c>
      <c r="E893">
        <v>85.6</v>
      </c>
      <c r="F893">
        <v>99.1</v>
      </c>
      <c r="G893">
        <v>96.8</v>
      </c>
      <c r="H893">
        <v>95.6</v>
      </c>
      <c r="I893">
        <v>97</v>
      </c>
      <c r="J893">
        <v>100</v>
      </c>
      <c r="K893">
        <v>100</v>
      </c>
      <c r="L893" s="1" t="s">
        <v>2214</v>
      </c>
      <c r="M893" t="s">
        <v>265</v>
      </c>
      <c r="N893">
        <v>2</v>
      </c>
    </row>
    <row r="894" spans="1:14" x14ac:dyDescent="0.25">
      <c r="A894" s="3" t="str">
        <f>HYPERLINK("http://www.ncbi.nlm.nih.gov/gene/116228","116228")</f>
        <v>116228</v>
      </c>
      <c r="B894" s="1" t="s">
        <v>2216</v>
      </c>
      <c r="C894" t="s">
        <v>2217</v>
      </c>
      <c r="D894">
        <v>70.8</v>
      </c>
      <c r="E894">
        <v>72.8</v>
      </c>
      <c r="F894">
        <v>97.8</v>
      </c>
      <c r="G894">
        <v>88.3</v>
      </c>
      <c r="H894">
        <v>112.1</v>
      </c>
      <c r="I894">
        <v>114.7</v>
      </c>
      <c r="J894">
        <v>100</v>
      </c>
      <c r="K894">
        <v>100</v>
      </c>
      <c r="L894" s="1" t="s">
        <v>2216</v>
      </c>
      <c r="M894" t="s">
        <v>2218</v>
      </c>
      <c r="N894">
        <v>5</v>
      </c>
    </row>
    <row r="895" spans="1:14" x14ac:dyDescent="0.25">
      <c r="A895" s="3" t="str">
        <f>HYPERLINK("http://www.ncbi.nlm.nih.gov/gene/1327","1327")</f>
        <v>1327</v>
      </c>
      <c r="B895" s="1" t="s">
        <v>2219</v>
      </c>
      <c r="C895" t="s">
        <v>2220</v>
      </c>
      <c r="D895">
        <v>118.5</v>
      </c>
      <c r="E895">
        <v>121.7</v>
      </c>
      <c r="F895">
        <v>100</v>
      </c>
      <c r="G895">
        <v>100</v>
      </c>
      <c r="H895">
        <v>165.2</v>
      </c>
      <c r="I895">
        <v>170.1</v>
      </c>
      <c r="J895">
        <v>100</v>
      </c>
      <c r="K895">
        <v>100</v>
      </c>
      <c r="L895" s="1" t="s">
        <v>2219</v>
      </c>
      <c r="M895" t="s">
        <v>265</v>
      </c>
      <c r="N895">
        <v>2</v>
      </c>
    </row>
    <row r="896" spans="1:14" x14ac:dyDescent="0.25">
      <c r="A896" s="3" t="str">
        <f>HYPERLINK("http://www.ncbi.nlm.nih.gov/gene/84701","84701")</f>
        <v>84701</v>
      </c>
      <c r="B896" s="1" t="s">
        <v>2221</v>
      </c>
      <c r="C896" t="s">
        <v>2222</v>
      </c>
      <c r="D896">
        <v>120.1</v>
      </c>
      <c r="E896">
        <v>127.4</v>
      </c>
      <c r="F896">
        <v>100</v>
      </c>
      <c r="G896">
        <v>100</v>
      </c>
      <c r="H896">
        <v>116.6</v>
      </c>
      <c r="I896">
        <v>119.4</v>
      </c>
      <c r="J896">
        <v>100</v>
      </c>
      <c r="K896">
        <v>100</v>
      </c>
      <c r="L896" s="1" t="s">
        <v>2221</v>
      </c>
      <c r="M896" t="s">
        <v>2223</v>
      </c>
      <c r="N896">
        <v>4</v>
      </c>
    </row>
    <row r="897" spans="1:14" x14ac:dyDescent="0.25">
      <c r="A897" s="3" t="str">
        <f>HYPERLINK("http://www.ncbi.nlm.nih.gov/gene/9377","9377")</f>
        <v>9377</v>
      </c>
      <c r="B897" s="1" t="s">
        <v>2224</v>
      </c>
      <c r="C897" t="s">
        <v>2225</v>
      </c>
      <c r="D897">
        <v>31.4</v>
      </c>
      <c r="E897">
        <v>31.5</v>
      </c>
      <c r="F897">
        <v>74.7</v>
      </c>
      <c r="G897">
        <v>47.1</v>
      </c>
      <c r="H897">
        <v>112.2</v>
      </c>
      <c r="I897">
        <v>114.5</v>
      </c>
      <c r="J897">
        <v>100</v>
      </c>
      <c r="K897">
        <v>100</v>
      </c>
      <c r="L897" s="1" t="s">
        <v>2224</v>
      </c>
      <c r="M897" t="s">
        <v>265</v>
      </c>
      <c r="N897">
        <v>2</v>
      </c>
    </row>
    <row r="898" spans="1:14" x14ac:dyDescent="0.25">
      <c r="A898" s="3" t="str">
        <f>HYPERLINK("http://www.ncbi.nlm.nih.gov/gene/1329","1329")</f>
        <v>1329</v>
      </c>
      <c r="B898" s="1" t="s">
        <v>2226</v>
      </c>
      <c r="C898" t="s">
        <v>2227</v>
      </c>
      <c r="D898">
        <v>149.9</v>
      </c>
      <c r="E898">
        <v>154.19999999999999</v>
      </c>
      <c r="F898">
        <v>100</v>
      </c>
      <c r="G898">
        <v>100</v>
      </c>
      <c r="H898">
        <v>116.3</v>
      </c>
      <c r="I898">
        <v>118.2</v>
      </c>
      <c r="J898">
        <v>100</v>
      </c>
      <c r="K898">
        <v>100</v>
      </c>
      <c r="L898" s="1" t="s">
        <v>2226</v>
      </c>
      <c r="M898" t="s">
        <v>265</v>
      </c>
      <c r="N898">
        <v>2</v>
      </c>
    </row>
    <row r="899" spans="1:14" x14ac:dyDescent="0.25">
      <c r="A899" s="3" t="str">
        <f>HYPERLINK("http://www.ncbi.nlm.nih.gov/gene/1337","1337")</f>
        <v>1337</v>
      </c>
      <c r="B899" s="1" t="s">
        <v>2228</v>
      </c>
      <c r="C899" t="s">
        <v>2229</v>
      </c>
      <c r="D899">
        <v>171.7</v>
      </c>
      <c r="E899">
        <v>177.4</v>
      </c>
      <c r="F899">
        <v>100</v>
      </c>
      <c r="G899">
        <v>99.5</v>
      </c>
      <c r="H899">
        <v>130.9</v>
      </c>
      <c r="I899">
        <v>134.1</v>
      </c>
      <c r="J899">
        <v>100</v>
      </c>
      <c r="K899">
        <v>100</v>
      </c>
      <c r="L899" s="1" t="s">
        <v>2228</v>
      </c>
      <c r="M899" t="s">
        <v>2059</v>
      </c>
      <c r="N899">
        <v>4</v>
      </c>
    </row>
    <row r="900" spans="1:14" x14ac:dyDescent="0.25">
      <c r="A900" s="3" t="str">
        <f>HYPERLINK("http://www.ncbi.nlm.nih.gov/gene/1339","1339")</f>
        <v>1339</v>
      </c>
      <c r="B900" s="1" t="s">
        <v>2230</v>
      </c>
      <c r="C900" t="s">
        <v>2231</v>
      </c>
      <c r="D900">
        <v>50.1</v>
      </c>
      <c r="E900">
        <v>51.6</v>
      </c>
      <c r="F900">
        <v>99.2</v>
      </c>
      <c r="G900">
        <v>93.7</v>
      </c>
      <c r="H900">
        <v>132.4</v>
      </c>
      <c r="I900">
        <v>138.80000000000001</v>
      </c>
      <c r="J900">
        <v>100</v>
      </c>
      <c r="K900">
        <v>100</v>
      </c>
      <c r="L900" s="1" t="s">
        <v>2230</v>
      </c>
      <c r="M900" t="s">
        <v>2232</v>
      </c>
      <c r="N900">
        <v>3</v>
      </c>
    </row>
    <row r="901" spans="1:14" x14ac:dyDescent="0.25">
      <c r="A901" s="3" t="str">
        <f>HYPERLINK("http://www.ncbi.nlm.nih.gov/gene/1340","1340")</f>
        <v>1340</v>
      </c>
      <c r="B901" s="1" t="s">
        <v>2233</v>
      </c>
      <c r="C901" t="s">
        <v>2234</v>
      </c>
      <c r="D901">
        <v>184.8</v>
      </c>
      <c r="E901">
        <v>189.5</v>
      </c>
      <c r="F901">
        <v>100</v>
      </c>
      <c r="G901">
        <v>100</v>
      </c>
      <c r="H901">
        <v>125.3</v>
      </c>
      <c r="I901">
        <v>127.7</v>
      </c>
      <c r="J901">
        <v>100</v>
      </c>
      <c r="K901">
        <v>100</v>
      </c>
      <c r="L901" s="1" t="s">
        <v>2233</v>
      </c>
      <c r="M901" t="s">
        <v>2208</v>
      </c>
      <c r="N901">
        <v>4</v>
      </c>
    </row>
    <row r="902" spans="1:14" x14ac:dyDescent="0.25">
      <c r="A902" s="3" t="str">
        <f>HYPERLINK("http://www.ncbi.nlm.nih.gov/gene/125965","125965")</f>
        <v>125965</v>
      </c>
      <c r="B902" s="1" t="s">
        <v>2235</v>
      </c>
      <c r="C902" t="s">
        <v>2236</v>
      </c>
      <c r="D902">
        <v>80.400000000000006</v>
      </c>
      <c r="E902">
        <v>81.099999999999994</v>
      </c>
      <c r="F902">
        <v>100</v>
      </c>
      <c r="G902">
        <v>99.8</v>
      </c>
      <c r="H902">
        <v>154.69999999999999</v>
      </c>
      <c r="I902">
        <v>157.4</v>
      </c>
      <c r="J902">
        <v>100</v>
      </c>
      <c r="K902">
        <v>100</v>
      </c>
      <c r="L902" s="1" t="s">
        <v>2235</v>
      </c>
      <c r="M902" t="s">
        <v>265</v>
      </c>
      <c r="N902">
        <v>2</v>
      </c>
    </row>
    <row r="903" spans="1:14" x14ac:dyDescent="0.25">
      <c r="A903" s="3" t="str">
        <f>HYPERLINK("http://www.ncbi.nlm.nih.gov/gene/1345","1345")</f>
        <v>1345</v>
      </c>
      <c r="B903" s="1" t="s">
        <v>2237</v>
      </c>
      <c r="D903">
        <v>104.6</v>
      </c>
      <c r="E903">
        <v>110.4</v>
      </c>
      <c r="F903">
        <v>100</v>
      </c>
      <c r="G903">
        <v>97.4</v>
      </c>
      <c r="H903">
        <v>119.5</v>
      </c>
      <c r="I903">
        <v>122</v>
      </c>
      <c r="J903">
        <v>100</v>
      </c>
      <c r="K903">
        <v>100</v>
      </c>
      <c r="L903" s="1" t="s">
        <v>2237</v>
      </c>
      <c r="M903" t="s">
        <v>265</v>
      </c>
      <c r="N903">
        <v>2</v>
      </c>
    </row>
    <row r="904" spans="1:14" x14ac:dyDescent="0.25">
      <c r="A904" s="3" t="str">
        <f>HYPERLINK("http://www.ncbi.nlm.nih.gov/gene/1346","1346")</f>
        <v>1346</v>
      </c>
      <c r="B904" s="1" t="s">
        <v>2238</v>
      </c>
      <c r="C904" t="s">
        <v>2239</v>
      </c>
      <c r="D904">
        <v>142.9</v>
      </c>
      <c r="E904">
        <v>145.19999999999999</v>
      </c>
      <c r="F904">
        <v>100</v>
      </c>
      <c r="G904">
        <v>99.9</v>
      </c>
      <c r="H904">
        <v>153.4</v>
      </c>
      <c r="I904">
        <v>156.1</v>
      </c>
      <c r="J904">
        <v>100</v>
      </c>
      <c r="K904">
        <v>100</v>
      </c>
      <c r="L904" s="1" t="s">
        <v>2238</v>
      </c>
      <c r="M904" t="s">
        <v>265</v>
      </c>
      <c r="N904">
        <v>2</v>
      </c>
    </row>
    <row r="905" spans="1:14" x14ac:dyDescent="0.25">
      <c r="A905" s="3" t="str">
        <f>HYPERLINK("http://www.ncbi.nlm.nih.gov/gene/1347","1347")</f>
        <v>1347</v>
      </c>
      <c r="B905" s="1" t="s">
        <v>2240</v>
      </c>
      <c r="C905" t="s">
        <v>2241</v>
      </c>
      <c r="D905">
        <v>112.8</v>
      </c>
      <c r="E905">
        <v>117.2</v>
      </c>
      <c r="F905">
        <v>100</v>
      </c>
      <c r="G905">
        <v>99.8</v>
      </c>
      <c r="H905">
        <v>123</v>
      </c>
      <c r="I905">
        <v>126</v>
      </c>
      <c r="J905">
        <v>100</v>
      </c>
      <c r="K905">
        <v>100</v>
      </c>
      <c r="L905" s="1" t="s">
        <v>2240</v>
      </c>
      <c r="M905" t="s">
        <v>265</v>
      </c>
      <c r="N905">
        <v>2</v>
      </c>
    </row>
    <row r="906" spans="1:14" x14ac:dyDescent="0.25">
      <c r="A906" s="3" t="str">
        <f>HYPERLINK("http://www.ncbi.nlm.nih.gov/gene/1349","1349")</f>
        <v>1349</v>
      </c>
      <c r="B906" s="1" t="s">
        <v>2242</v>
      </c>
      <c r="C906" t="s">
        <v>2243</v>
      </c>
      <c r="D906">
        <v>52.1</v>
      </c>
      <c r="E906">
        <v>52.2</v>
      </c>
      <c r="F906">
        <v>78.2</v>
      </c>
      <c r="G906">
        <v>49.4</v>
      </c>
      <c r="H906">
        <v>128.1</v>
      </c>
      <c r="I906">
        <v>131.5</v>
      </c>
      <c r="J906">
        <v>100</v>
      </c>
      <c r="K906">
        <v>100</v>
      </c>
      <c r="L906" s="1" t="s">
        <v>2242</v>
      </c>
      <c r="M906" t="s">
        <v>2244</v>
      </c>
      <c r="N906">
        <v>3</v>
      </c>
    </row>
    <row r="907" spans="1:14" x14ac:dyDescent="0.25">
      <c r="A907" s="3" t="str">
        <f>HYPERLINK("http://www.ncbi.nlm.nih.gov/gene/170712","170712")</f>
        <v>170712</v>
      </c>
      <c r="B907" s="1" t="s">
        <v>2245</v>
      </c>
      <c r="D907">
        <v>141.19999999999999</v>
      </c>
      <c r="E907">
        <v>150.1</v>
      </c>
      <c r="F907">
        <v>100</v>
      </c>
      <c r="G907">
        <v>100</v>
      </c>
      <c r="H907">
        <v>112.8</v>
      </c>
      <c r="I907">
        <v>115.4</v>
      </c>
      <c r="J907">
        <v>100</v>
      </c>
      <c r="K907">
        <v>100</v>
      </c>
      <c r="L907" s="1" t="s">
        <v>2245</v>
      </c>
      <c r="M907" t="s">
        <v>265</v>
      </c>
      <c r="N907">
        <v>2</v>
      </c>
    </row>
    <row r="908" spans="1:14" x14ac:dyDescent="0.25">
      <c r="A908" s="3" t="str">
        <f>HYPERLINK("http://www.ncbi.nlm.nih.gov/gene/1350","1350")</f>
        <v>1350</v>
      </c>
      <c r="B908" s="1" t="s">
        <v>2246</v>
      </c>
      <c r="D908">
        <v>40.799999999999997</v>
      </c>
      <c r="E908">
        <v>39.4</v>
      </c>
      <c r="F908">
        <v>99.3</v>
      </c>
      <c r="G908">
        <v>86.9</v>
      </c>
      <c r="H908">
        <v>116.2</v>
      </c>
      <c r="I908">
        <v>118.1</v>
      </c>
      <c r="J908">
        <v>100</v>
      </c>
      <c r="K908">
        <v>100</v>
      </c>
      <c r="L908" s="1" t="s">
        <v>2246</v>
      </c>
      <c r="M908" t="s">
        <v>265</v>
      </c>
      <c r="N908">
        <v>2</v>
      </c>
    </row>
    <row r="909" spans="1:14" x14ac:dyDescent="0.25">
      <c r="A909" s="3" t="str">
        <f>HYPERLINK("http://www.ncbi.nlm.nih.gov/gene/1351","1351")</f>
        <v>1351</v>
      </c>
      <c r="B909" s="1" t="s">
        <v>2247</v>
      </c>
      <c r="C909" t="s">
        <v>2248</v>
      </c>
      <c r="D909">
        <v>110.1</v>
      </c>
      <c r="E909">
        <v>111.3</v>
      </c>
      <c r="F909">
        <v>100</v>
      </c>
      <c r="G909">
        <v>100</v>
      </c>
      <c r="H909">
        <v>126</v>
      </c>
      <c r="I909">
        <v>128.5</v>
      </c>
      <c r="J909">
        <v>100</v>
      </c>
      <c r="K909">
        <v>100</v>
      </c>
      <c r="L909" s="1" t="s">
        <v>2247</v>
      </c>
      <c r="M909" t="s">
        <v>2232</v>
      </c>
      <c r="N909">
        <v>3</v>
      </c>
    </row>
    <row r="910" spans="1:14" x14ac:dyDescent="0.25">
      <c r="A910" s="3" t="str">
        <f>HYPERLINK("http://www.ncbi.nlm.nih.gov/gene/341947","341947")</f>
        <v>341947</v>
      </c>
      <c r="B910" s="1" t="s">
        <v>2249</v>
      </c>
      <c r="C910" t="s">
        <v>2250</v>
      </c>
      <c r="D910">
        <v>153.19999999999999</v>
      </c>
      <c r="E910">
        <v>152.69999999999999</v>
      </c>
      <c r="F910">
        <v>100</v>
      </c>
      <c r="G910">
        <v>99.9</v>
      </c>
      <c r="H910">
        <v>158.4</v>
      </c>
      <c r="I910">
        <v>163.6</v>
      </c>
      <c r="J910">
        <v>100</v>
      </c>
      <c r="K910">
        <v>100</v>
      </c>
      <c r="L910" s="1" t="s">
        <v>2249</v>
      </c>
      <c r="M910" t="s">
        <v>265</v>
      </c>
      <c r="N910">
        <v>2</v>
      </c>
    </row>
    <row r="911" spans="1:14" x14ac:dyDescent="0.25">
      <c r="A911" s="3" t="str">
        <f>HYPERLINK("http://www.ncbi.nlm.nih.gov/gene/1356","1356")</f>
        <v>1356</v>
      </c>
      <c r="B911" s="1" t="s">
        <v>2251</v>
      </c>
      <c r="C911" t="s">
        <v>2252</v>
      </c>
      <c r="D911">
        <v>123.6</v>
      </c>
      <c r="E911">
        <v>127.1</v>
      </c>
      <c r="F911">
        <v>94.8</v>
      </c>
      <c r="G911">
        <v>88.9</v>
      </c>
      <c r="H911">
        <v>140.5</v>
      </c>
      <c r="I911">
        <v>145.19999999999999</v>
      </c>
      <c r="J911">
        <v>100</v>
      </c>
      <c r="K911">
        <v>100</v>
      </c>
      <c r="L911" s="1" t="s">
        <v>2251</v>
      </c>
      <c r="M911" t="s">
        <v>2253</v>
      </c>
      <c r="N911">
        <v>6</v>
      </c>
    </row>
    <row r="912" spans="1:14" x14ac:dyDescent="0.25">
      <c r="A912" s="3" t="str">
        <f>HYPERLINK("http://www.ncbi.nlm.nih.gov/gene/57094","57094")</f>
        <v>57094</v>
      </c>
      <c r="B912" s="1" t="s">
        <v>2254</v>
      </c>
      <c r="C912" t="s">
        <v>2255</v>
      </c>
      <c r="D912">
        <v>136.5</v>
      </c>
      <c r="E912">
        <v>141.4</v>
      </c>
      <c r="F912">
        <v>99.6</v>
      </c>
      <c r="G912">
        <v>97.5</v>
      </c>
      <c r="H912">
        <v>130.1</v>
      </c>
      <c r="I912">
        <v>133.6</v>
      </c>
      <c r="J912">
        <v>100</v>
      </c>
      <c r="K912">
        <v>100</v>
      </c>
      <c r="L912" s="1" t="s">
        <v>2254</v>
      </c>
      <c r="M912" t="s">
        <v>2256</v>
      </c>
      <c r="N912">
        <v>3</v>
      </c>
    </row>
    <row r="913" spans="1:14" x14ac:dyDescent="0.25">
      <c r="A913" s="3" t="str">
        <f>HYPERLINK("http://www.ncbi.nlm.nih.gov/gene/27151","27151")</f>
        <v>27151</v>
      </c>
      <c r="B913" s="1" t="s">
        <v>2257</v>
      </c>
      <c r="C913" t="s">
        <v>2258</v>
      </c>
      <c r="D913">
        <v>105.3</v>
      </c>
      <c r="E913">
        <v>105.4</v>
      </c>
      <c r="F913">
        <v>95.8</v>
      </c>
      <c r="G913">
        <v>92.8</v>
      </c>
      <c r="H913">
        <v>134.30000000000001</v>
      </c>
      <c r="I913">
        <v>138.9</v>
      </c>
      <c r="J913">
        <v>99.9</v>
      </c>
      <c r="K913">
        <v>99.6</v>
      </c>
      <c r="L913" s="1" t="s">
        <v>2257</v>
      </c>
      <c r="M913" t="s">
        <v>56</v>
      </c>
      <c r="N913">
        <v>3</v>
      </c>
    </row>
    <row r="914" spans="1:14" x14ac:dyDescent="0.25">
      <c r="A914" s="3" t="str">
        <f>HYPERLINK("http://www.ncbi.nlm.nih.gov/gene/65250","65250")</f>
        <v>65250</v>
      </c>
      <c r="B914" s="1" t="s">
        <v>2259</v>
      </c>
      <c r="C914" t="s">
        <v>2260</v>
      </c>
      <c r="D914">
        <v>145.19999999999999</v>
      </c>
      <c r="E914">
        <v>148.80000000000001</v>
      </c>
      <c r="F914">
        <v>99.7</v>
      </c>
      <c r="G914">
        <v>98.4</v>
      </c>
      <c r="H914">
        <v>131.5</v>
      </c>
      <c r="I914">
        <v>133.19999999999999</v>
      </c>
      <c r="J914">
        <v>100</v>
      </c>
      <c r="K914">
        <v>100</v>
      </c>
      <c r="L914" s="1" t="s">
        <v>2259</v>
      </c>
      <c r="M914" t="s">
        <v>2261</v>
      </c>
      <c r="N914">
        <v>8</v>
      </c>
    </row>
    <row r="915" spans="1:14" x14ac:dyDescent="0.25">
      <c r="A915" s="3" t="str">
        <f>HYPERLINK("http://www.ncbi.nlm.nih.gov/gene/10815","10815")</f>
        <v>10815</v>
      </c>
      <c r="B915" s="1" t="s">
        <v>2262</v>
      </c>
      <c r="C915" t="s">
        <v>2263</v>
      </c>
      <c r="D915">
        <v>87.3</v>
      </c>
      <c r="E915">
        <v>90.5</v>
      </c>
      <c r="F915">
        <v>100</v>
      </c>
      <c r="G915">
        <v>100</v>
      </c>
      <c r="H915">
        <v>192.5</v>
      </c>
      <c r="I915">
        <v>199.4</v>
      </c>
      <c r="J915">
        <v>100</v>
      </c>
      <c r="K915">
        <v>100</v>
      </c>
      <c r="L915" s="1" t="s">
        <v>2262</v>
      </c>
      <c r="M915" t="s">
        <v>228</v>
      </c>
      <c r="N915">
        <v>3</v>
      </c>
    </row>
    <row r="916" spans="1:14" x14ac:dyDescent="0.25">
      <c r="A916" s="3" t="str">
        <f>HYPERLINK("http://www.ncbi.nlm.nih.gov/gene/1369","1369")</f>
        <v>1369</v>
      </c>
      <c r="B916" s="1" t="s">
        <v>2264</v>
      </c>
      <c r="C916" t="s">
        <v>2265</v>
      </c>
      <c r="D916">
        <v>125.1</v>
      </c>
      <c r="E916">
        <v>130.5</v>
      </c>
      <c r="F916">
        <v>99.9</v>
      </c>
      <c r="G916">
        <v>99.4</v>
      </c>
      <c r="H916">
        <v>134.5</v>
      </c>
      <c r="I916">
        <v>139.1</v>
      </c>
      <c r="J916">
        <v>100</v>
      </c>
      <c r="K916">
        <v>100</v>
      </c>
      <c r="L916" s="1" t="s">
        <v>2264</v>
      </c>
      <c r="M916" t="s">
        <v>53</v>
      </c>
      <c r="N916">
        <v>2</v>
      </c>
    </row>
    <row r="917" spans="1:14" x14ac:dyDescent="0.25">
      <c r="A917" s="3" t="str">
        <f>HYPERLINK("http://www.ncbi.nlm.nih.gov/gene/1371","1371")</f>
        <v>1371</v>
      </c>
      <c r="B917" s="1" t="s">
        <v>2266</v>
      </c>
      <c r="C917" t="s">
        <v>2267</v>
      </c>
      <c r="D917">
        <v>137.1</v>
      </c>
      <c r="E917">
        <v>142.30000000000001</v>
      </c>
      <c r="F917">
        <v>99.9</v>
      </c>
      <c r="G917">
        <v>95.4</v>
      </c>
      <c r="H917">
        <v>130.80000000000001</v>
      </c>
      <c r="I917">
        <v>132.6</v>
      </c>
      <c r="J917">
        <v>100</v>
      </c>
      <c r="K917">
        <v>100</v>
      </c>
      <c r="L917" s="1" t="s">
        <v>2266</v>
      </c>
      <c r="M917" t="s">
        <v>2268</v>
      </c>
      <c r="N917">
        <v>4</v>
      </c>
    </row>
    <row r="918" spans="1:14" x14ac:dyDescent="0.25">
      <c r="A918" s="3" t="str">
        <f>HYPERLINK("http://www.ncbi.nlm.nih.gov/gene/1373","1373")</f>
        <v>1373</v>
      </c>
      <c r="B918" s="1" t="s">
        <v>2269</v>
      </c>
      <c r="C918" t="s">
        <v>2270</v>
      </c>
      <c r="D918">
        <v>157.69999999999999</v>
      </c>
      <c r="E918">
        <v>162.9</v>
      </c>
      <c r="F918">
        <v>100</v>
      </c>
      <c r="G918">
        <v>99.9</v>
      </c>
      <c r="H918">
        <v>136.19999999999999</v>
      </c>
      <c r="I918">
        <v>139.69999999999999</v>
      </c>
      <c r="J918">
        <v>100</v>
      </c>
      <c r="K918">
        <v>100</v>
      </c>
      <c r="L918" s="1" t="s">
        <v>2269</v>
      </c>
      <c r="M918" t="s">
        <v>214</v>
      </c>
      <c r="N918">
        <v>5</v>
      </c>
    </row>
    <row r="919" spans="1:14" x14ac:dyDescent="0.25">
      <c r="A919" s="3" t="str">
        <f>HYPERLINK("http://www.ncbi.nlm.nih.gov/gene/29894","29894")</f>
        <v>29894</v>
      </c>
      <c r="B919" s="1" t="s">
        <v>2271</v>
      </c>
      <c r="C919" t="s">
        <v>2272</v>
      </c>
      <c r="D919">
        <v>150.5</v>
      </c>
      <c r="E919">
        <v>152.5</v>
      </c>
      <c r="F919">
        <v>98.2</v>
      </c>
      <c r="G919">
        <v>96.5</v>
      </c>
      <c r="H919">
        <v>146.5</v>
      </c>
      <c r="I919">
        <v>149.5</v>
      </c>
      <c r="J919">
        <v>100</v>
      </c>
      <c r="K919">
        <v>100</v>
      </c>
      <c r="L919" s="1" t="s">
        <v>2271</v>
      </c>
      <c r="M919" t="s">
        <v>302</v>
      </c>
      <c r="N919">
        <v>2</v>
      </c>
    </row>
    <row r="920" spans="1:14" x14ac:dyDescent="0.25">
      <c r="A920" s="3" t="str">
        <f>HYPERLINK("http://www.ncbi.nlm.nih.gov/gene/1374","1374")</f>
        <v>1374</v>
      </c>
      <c r="B920" s="1" t="s">
        <v>2273</v>
      </c>
      <c r="C920" t="s">
        <v>2274</v>
      </c>
      <c r="D920">
        <v>152.1</v>
      </c>
      <c r="E920">
        <v>158.30000000000001</v>
      </c>
      <c r="F920">
        <v>100</v>
      </c>
      <c r="G920">
        <v>98.9</v>
      </c>
      <c r="H920">
        <v>147.9</v>
      </c>
      <c r="I920">
        <v>151.69999999999999</v>
      </c>
      <c r="J920">
        <v>100</v>
      </c>
      <c r="K920">
        <v>100</v>
      </c>
      <c r="L920" s="1" t="s">
        <v>2273</v>
      </c>
      <c r="M920" t="s">
        <v>2275</v>
      </c>
      <c r="N920">
        <v>4</v>
      </c>
    </row>
    <row r="921" spans="1:14" x14ac:dyDescent="0.25">
      <c r="A921" s="3" t="str">
        <f>HYPERLINK("http://www.ncbi.nlm.nih.gov/gene/126129","126129")</f>
        <v>126129</v>
      </c>
      <c r="B921" s="1" t="s">
        <v>2276</v>
      </c>
      <c r="C921" t="s">
        <v>2277</v>
      </c>
      <c r="D921">
        <v>125.3</v>
      </c>
      <c r="E921">
        <v>130.5</v>
      </c>
      <c r="F921">
        <v>100</v>
      </c>
      <c r="G921">
        <v>99.9</v>
      </c>
      <c r="H921">
        <v>148</v>
      </c>
      <c r="I921">
        <v>152.19999999999999</v>
      </c>
      <c r="J921">
        <v>100</v>
      </c>
      <c r="K921">
        <v>100</v>
      </c>
      <c r="L921" s="1" t="s">
        <v>2276</v>
      </c>
      <c r="M921" t="s">
        <v>285</v>
      </c>
      <c r="N921">
        <v>1</v>
      </c>
    </row>
    <row r="922" spans="1:14" x14ac:dyDescent="0.25">
      <c r="A922" s="3" t="str">
        <f>HYPERLINK("http://www.ncbi.nlm.nih.gov/gene/1376","1376")</f>
        <v>1376</v>
      </c>
      <c r="B922" s="1" t="s">
        <v>2278</v>
      </c>
      <c r="C922" t="s">
        <v>2279</v>
      </c>
      <c r="D922">
        <v>159.6</v>
      </c>
      <c r="E922">
        <v>159.1</v>
      </c>
      <c r="F922">
        <v>98.2</v>
      </c>
      <c r="G922">
        <v>97.8</v>
      </c>
      <c r="H922">
        <v>151.5</v>
      </c>
      <c r="I922">
        <v>154.30000000000001</v>
      </c>
      <c r="J922">
        <v>100</v>
      </c>
      <c r="K922">
        <v>100</v>
      </c>
      <c r="L922" s="1" t="s">
        <v>2278</v>
      </c>
      <c r="M922" t="s">
        <v>2280</v>
      </c>
      <c r="N922">
        <v>6</v>
      </c>
    </row>
    <row r="923" spans="1:14" x14ac:dyDescent="0.25">
      <c r="A923" s="3" t="str">
        <f>HYPERLINK("http://www.ncbi.nlm.nih.gov/gene/1380","1380")</f>
        <v>1380</v>
      </c>
      <c r="B923" s="1" t="s">
        <v>2281</v>
      </c>
      <c r="C923" t="s">
        <v>2282</v>
      </c>
      <c r="D923">
        <v>162.9</v>
      </c>
      <c r="E923">
        <v>165.8</v>
      </c>
      <c r="F923">
        <v>100</v>
      </c>
      <c r="G923">
        <v>99.8</v>
      </c>
      <c r="H923">
        <v>136.1</v>
      </c>
      <c r="I923">
        <v>139</v>
      </c>
      <c r="J923">
        <v>100</v>
      </c>
      <c r="K923">
        <v>100</v>
      </c>
      <c r="L923" s="1" t="s">
        <v>2281</v>
      </c>
      <c r="M923" t="s">
        <v>1097</v>
      </c>
      <c r="N923">
        <v>3</v>
      </c>
    </row>
    <row r="924" spans="1:14" x14ac:dyDescent="0.25">
      <c r="A924" s="3" t="str">
        <f>HYPERLINK("http://www.ncbi.nlm.nih.gov/gene/8738","8738")</f>
        <v>8738</v>
      </c>
      <c r="B924" s="1" t="s">
        <v>2283</v>
      </c>
      <c r="C924" t="s">
        <v>2284</v>
      </c>
      <c r="D924">
        <v>114.8</v>
      </c>
      <c r="E924">
        <v>122.8</v>
      </c>
      <c r="F924">
        <v>99.5</v>
      </c>
      <c r="G924">
        <v>96.3</v>
      </c>
      <c r="H924">
        <v>116.2</v>
      </c>
      <c r="I924">
        <v>118.3</v>
      </c>
      <c r="J924">
        <v>100</v>
      </c>
      <c r="K924">
        <v>100</v>
      </c>
      <c r="L924" s="1" t="s">
        <v>2283</v>
      </c>
      <c r="M924" t="s">
        <v>228</v>
      </c>
      <c r="N924">
        <v>3</v>
      </c>
    </row>
    <row r="925" spans="1:14" x14ac:dyDescent="0.25">
      <c r="A925" s="3" t="str">
        <f>HYPERLINK("http://www.ncbi.nlm.nih.gov/gene/1384","1384")</f>
        <v>1384</v>
      </c>
      <c r="B925" s="1" t="s">
        <v>2285</v>
      </c>
      <c r="C925" t="s">
        <v>2286</v>
      </c>
      <c r="D925">
        <v>123.5</v>
      </c>
      <c r="E925">
        <v>126.1</v>
      </c>
      <c r="F925">
        <v>100</v>
      </c>
      <c r="G925">
        <v>99.8</v>
      </c>
      <c r="H925">
        <v>136.69999999999999</v>
      </c>
      <c r="I925">
        <v>139.80000000000001</v>
      </c>
      <c r="J925">
        <v>100</v>
      </c>
      <c r="K925">
        <v>100</v>
      </c>
      <c r="L925" s="1" t="s">
        <v>2285</v>
      </c>
      <c r="M925" t="s">
        <v>2287</v>
      </c>
      <c r="N925">
        <v>4</v>
      </c>
    </row>
    <row r="926" spans="1:14" x14ac:dyDescent="0.25">
      <c r="A926" s="3" t="str">
        <f>HYPERLINK("http://www.ncbi.nlm.nih.gov/gene/23418","23418")</f>
        <v>23418</v>
      </c>
      <c r="B926" s="1" t="s">
        <v>2288</v>
      </c>
      <c r="C926" t="s">
        <v>2289</v>
      </c>
      <c r="D926">
        <v>186.8</v>
      </c>
      <c r="E926">
        <v>194.4</v>
      </c>
      <c r="F926">
        <v>100</v>
      </c>
      <c r="G926">
        <v>99.9</v>
      </c>
      <c r="H926">
        <v>152.30000000000001</v>
      </c>
      <c r="I926">
        <v>156.1</v>
      </c>
      <c r="J926">
        <v>100</v>
      </c>
      <c r="K926">
        <v>100</v>
      </c>
      <c r="L926" s="1" t="s">
        <v>2288</v>
      </c>
      <c r="M926" t="s">
        <v>2290</v>
      </c>
      <c r="N926">
        <v>3</v>
      </c>
    </row>
    <row r="927" spans="1:14" x14ac:dyDescent="0.25">
      <c r="A927" s="3" t="str">
        <f>HYPERLINK("http://www.ncbi.nlm.nih.gov/gene/286204","286204")</f>
        <v>286204</v>
      </c>
      <c r="B927" s="1" t="s">
        <v>2291</v>
      </c>
      <c r="C927" t="s">
        <v>2292</v>
      </c>
      <c r="D927">
        <v>110.3</v>
      </c>
      <c r="E927">
        <v>103.1</v>
      </c>
      <c r="F927">
        <v>98.5</v>
      </c>
      <c r="G927">
        <v>93</v>
      </c>
      <c r="H927">
        <v>153</v>
      </c>
      <c r="I927">
        <v>154.4</v>
      </c>
      <c r="J927">
        <v>100</v>
      </c>
      <c r="K927">
        <v>100</v>
      </c>
      <c r="L927" s="1" t="s">
        <v>2291</v>
      </c>
      <c r="M927" t="s">
        <v>357</v>
      </c>
      <c r="N927">
        <v>3</v>
      </c>
    </row>
    <row r="928" spans="1:14" x14ac:dyDescent="0.25">
      <c r="A928" s="3" t="str">
        <f>HYPERLINK("http://www.ncbi.nlm.nih.gov/gene/51185","51185")</f>
        <v>51185</v>
      </c>
      <c r="B928" s="1" t="s">
        <v>2293</v>
      </c>
      <c r="C928" t="s">
        <v>2294</v>
      </c>
      <c r="D928">
        <v>146.69999999999999</v>
      </c>
      <c r="E928">
        <v>152.30000000000001</v>
      </c>
      <c r="F928">
        <v>88.2</v>
      </c>
      <c r="G928">
        <v>87.7</v>
      </c>
      <c r="H928">
        <v>125.9</v>
      </c>
      <c r="I928">
        <v>128.69999999999999</v>
      </c>
      <c r="J928">
        <v>97</v>
      </c>
      <c r="K928">
        <v>92.9</v>
      </c>
      <c r="L928" s="1" t="s">
        <v>2293</v>
      </c>
      <c r="M928" t="s">
        <v>228</v>
      </c>
      <c r="N928">
        <v>3</v>
      </c>
    </row>
    <row r="929" spans="1:14" x14ac:dyDescent="0.25">
      <c r="A929" s="3" t="str">
        <f>HYPERLINK("http://www.ncbi.nlm.nih.gov/gene/1385","1385")</f>
        <v>1385</v>
      </c>
      <c r="B929" s="1" t="s">
        <v>2295</v>
      </c>
      <c r="C929" t="s">
        <v>2296</v>
      </c>
      <c r="D929">
        <v>124.3</v>
      </c>
      <c r="E929">
        <v>126.8</v>
      </c>
      <c r="F929">
        <v>99.7</v>
      </c>
      <c r="G929">
        <v>96.7</v>
      </c>
      <c r="H929">
        <v>131.19999999999999</v>
      </c>
      <c r="I929">
        <v>135.19999999999999</v>
      </c>
      <c r="J929">
        <v>100</v>
      </c>
      <c r="K929">
        <v>100</v>
      </c>
      <c r="L929" s="1" t="s">
        <v>2295</v>
      </c>
      <c r="M929" t="s">
        <v>22</v>
      </c>
      <c r="N929">
        <v>1</v>
      </c>
    </row>
    <row r="930" spans="1:14" x14ac:dyDescent="0.25">
      <c r="A930" s="3" t="str">
        <f>HYPERLINK("http://www.ncbi.nlm.nih.gov/gene/90993","90993")</f>
        <v>90993</v>
      </c>
      <c r="B930" s="1" t="s">
        <v>2297</v>
      </c>
      <c r="C930" t="s">
        <v>2298</v>
      </c>
      <c r="D930">
        <v>143.6</v>
      </c>
      <c r="E930">
        <v>148.4</v>
      </c>
      <c r="F930">
        <v>100</v>
      </c>
      <c r="G930">
        <v>99.9</v>
      </c>
      <c r="H930">
        <v>155.5</v>
      </c>
      <c r="I930">
        <v>159.5</v>
      </c>
      <c r="J930">
        <v>100</v>
      </c>
      <c r="K930">
        <v>100</v>
      </c>
      <c r="L930" s="1" t="s">
        <v>2297</v>
      </c>
      <c r="M930" t="s">
        <v>2299</v>
      </c>
      <c r="N930">
        <v>4</v>
      </c>
    </row>
    <row r="931" spans="1:14" x14ac:dyDescent="0.25">
      <c r="A931" s="3" t="str">
        <f>HYPERLINK("http://www.ncbi.nlm.nih.gov/gene/1387","1387")</f>
        <v>1387</v>
      </c>
      <c r="B931" s="1" t="s">
        <v>2300</v>
      </c>
      <c r="C931" t="s">
        <v>2301</v>
      </c>
      <c r="D931">
        <v>120.9</v>
      </c>
      <c r="E931">
        <v>124.1</v>
      </c>
      <c r="F931">
        <v>99.7</v>
      </c>
      <c r="G931">
        <v>98.5</v>
      </c>
      <c r="H931">
        <v>148.9</v>
      </c>
      <c r="I931">
        <v>151.6</v>
      </c>
      <c r="J931">
        <v>100</v>
      </c>
      <c r="K931">
        <v>100</v>
      </c>
      <c r="L931" s="1" t="s">
        <v>2300</v>
      </c>
      <c r="M931" t="s">
        <v>2302</v>
      </c>
      <c r="N931">
        <v>6</v>
      </c>
    </row>
    <row r="932" spans="1:14" x14ac:dyDescent="0.25">
      <c r="A932" s="3" t="str">
        <f>HYPERLINK("http://www.ncbi.nlm.nih.gov/gene/78987","78987")</f>
        <v>78987</v>
      </c>
      <c r="B932" s="1" t="s">
        <v>2303</v>
      </c>
      <c r="C932" t="s">
        <v>2304</v>
      </c>
      <c r="D932">
        <v>98.6</v>
      </c>
      <c r="E932">
        <v>103.8</v>
      </c>
      <c r="F932">
        <v>99.9</v>
      </c>
      <c r="G932">
        <v>95</v>
      </c>
      <c r="H932">
        <v>136.4</v>
      </c>
      <c r="I932">
        <v>140</v>
      </c>
      <c r="J932">
        <v>100</v>
      </c>
      <c r="K932">
        <v>100</v>
      </c>
      <c r="L932" s="1" t="s">
        <v>2303</v>
      </c>
      <c r="M932" t="s">
        <v>180</v>
      </c>
      <c r="N932">
        <v>3</v>
      </c>
    </row>
    <row r="933" spans="1:14" x14ac:dyDescent="0.25">
      <c r="A933" s="3" t="str">
        <f>HYPERLINK("http://www.ncbi.nlm.nih.gov/gene/9419","9419")</f>
        <v>9419</v>
      </c>
      <c r="B933" s="1" t="s">
        <v>2305</v>
      </c>
      <c r="C933" t="s">
        <v>2306</v>
      </c>
      <c r="D933">
        <v>46.5</v>
      </c>
      <c r="E933">
        <v>47.4</v>
      </c>
      <c r="F933">
        <v>98.1</v>
      </c>
      <c r="G933">
        <v>93.2</v>
      </c>
      <c r="H933">
        <v>107.5</v>
      </c>
      <c r="I933">
        <v>109.3</v>
      </c>
      <c r="J933">
        <v>100</v>
      </c>
      <c r="K933">
        <v>100</v>
      </c>
      <c r="L933" s="1" t="s">
        <v>2305</v>
      </c>
      <c r="M933" t="s">
        <v>1168</v>
      </c>
      <c r="N933">
        <v>3</v>
      </c>
    </row>
    <row r="934" spans="1:14" x14ac:dyDescent="0.25">
      <c r="A934" s="3" t="str">
        <f>HYPERLINK("http://www.ncbi.nlm.nih.gov/gene/9244","9244")</f>
        <v>9244</v>
      </c>
      <c r="B934" s="1" t="s">
        <v>2307</v>
      </c>
      <c r="C934" t="s">
        <v>2308</v>
      </c>
      <c r="D934">
        <v>121.3</v>
      </c>
      <c r="E934">
        <v>127.7</v>
      </c>
      <c r="F934">
        <v>91</v>
      </c>
      <c r="G934">
        <v>89.8</v>
      </c>
      <c r="H934">
        <v>125.1</v>
      </c>
      <c r="I934">
        <v>130.19999999999999</v>
      </c>
      <c r="J934">
        <v>97.9</v>
      </c>
      <c r="K934">
        <v>95.2</v>
      </c>
      <c r="L934" s="1" t="s">
        <v>2307</v>
      </c>
      <c r="M934" t="s">
        <v>228</v>
      </c>
      <c r="N934">
        <v>3</v>
      </c>
    </row>
    <row r="935" spans="1:14" x14ac:dyDescent="0.25">
      <c r="A935" s="3" t="str">
        <f>HYPERLINK("http://www.ncbi.nlm.nih.gov/gene/1401","1401")</f>
        <v>1401</v>
      </c>
      <c r="B935" s="1" t="s">
        <v>2309</v>
      </c>
      <c r="C935" t="s">
        <v>2310</v>
      </c>
      <c r="D935">
        <v>183.7</v>
      </c>
      <c r="E935">
        <v>195.8</v>
      </c>
      <c r="F935">
        <v>99.7</v>
      </c>
      <c r="G935">
        <v>96.7</v>
      </c>
      <c r="H935">
        <v>153.9</v>
      </c>
      <c r="I935">
        <v>149</v>
      </c>
      <c r="J935">
        <v>100</v>
      </c>
      <c r="K935">
        <v>100</v>
      </c>
      <c r="L935" s="1" t="s">
        <v>2309</v>
      </c>
      <c r="M935" t="s">
        <v>661</v>
      </c>
      <c r="N935">
        <v>2</v>
      </c>
    </row>
    <row r="936" spans="1:14" x14ac:dyDescent="0.25">
      <c r="A936" s="3" t="str">
        <f>HYPERLINK("http://www.ncbi.nlm.nih.gov/gene/729920","729920")</f>
        <v>729920</v>
      </c>
      <c r="B936" s="1" t="s">
        <v>2311</v>
      </c>
      <c r="C936" t="s">
        <v>2312</v>
      </c>
      <c r="D936">
        <v>119.6</v>
      </c>
      <c r="E936">
        <v>122.2</v>
      </c>
      <c r="F936">
        <v>98.5</v>
      </c>
      <c r="G936">
        <v>94.8</v>
      </c>
      <c r="H936">
        <v>92.9</v>
      </c>
      <c r="I936">
        <v>95.9</v>
      </c>
      <c r="J936">
        <v>100</v>
      </c>
      <c r="K936">
        <v>99.4</v>
      </c>
      <c r="L936" s="1" t="s">
        <v>2311</v>
      </c>
      <c r="M936" t="s">
        <v>2313</v>
      </c>
      <c r="N936">
        <v>6</v>
      </c>
    </row>
    <row r="937" spans="1:14" x14ac:dyDescent="0.25">
      <c r="A937" s="3" t="str">
        <f>HYPERLINK("http://www.ncbi.nlm.nih.gov/gene/10491","10491")</f>
        <v>10491</v>
      </c>
      <c r="B937" s="1" t="s">
        <v>2314</v>
      </c>
      <c r="C937" t="s">
        <v>2315</v>
      </c>
      <c r="D937">
        <v>119.5</v>
      </c>
      <c r="E937">
        <v>120.1</v>
      </c>
      <c r="F937">
        <v>99.8</v>
      </c>
      <c r="G937">
        <v>98.8</v>
      </c>
      <c r="H937">
        <v>118.8</v>
      </c>
      <c r="I937">
        <v>121.9</v>
      </c>
      <c r="J937">
        <v>100</v>
      </c>
      <c r="K937">
        <v>100</v>
      </c>
      <c r="L937" s="1" t="s">
        <v>2314</v>
      </c>
      <c r="M937" t="s">
        <v>1168</v>
      </c>
      <c r="N937">
        <v>3</v>
      </c>
    </row>
    <row r="938" spans="1:14" x14ac:dyDescent="0.25">
      <c r="A938" s="3" t="str">
        <f>HYPERLINK("http://www.ncbi.nlm.nih.gov/gene/23373","23373")</f>
        <v>23373</v>
      </c>
      <c r="B938" s="1" t="s">
        <v>2316</v>
      </c>
      <c r="C938" t="s">
        <v>2317</v>
      </c>
      <c r="D938">
        <v>158.1</v>
      </c>
      <c r="E938">
        <v>160.9</v>
      </c>
      <c r="F938">
        <v>99.8</v>
      </c>
      <c r="G938">
        <v>99.7</v>
      </c>
      <c r="H938">
        <v>148.80000000000001</v>
      </c>
      <c r="I938">
        <v>152.6</v>
      </c>
      <c r="J938">
        <v>100</v>
      </c>
      <c r="K938">
        <v>100</v>
      </c>
      <c r="L938" s="1" t="s">
        <v>2316</v>
      </c>
      <c r="M938" t="s">
        <v>22</v>
      </c>
      <c r="N938">
        <v>1</v>
      </c>
    </row>
    <row r="939" spans="1:14" x14ac:dyDescent="0.25">
      <c r="A939" s="3" t="str">
        <f>HYPERLINK("http://www.ncbi.nlm.nih.gov/gene/1406","1406")</f>
        <v>1406</v>
      </c>
      <c r="B939" s="1" t="s">
        <v>2318</v>
      </c>
      <c r="C939" t="s">
        <v>2319</v>
      </c>
      <c r="D939">
        <v>207.1</v>
      </c>
      <c r="E939">
        <v>215.1</v>
      </c>
      <c r="F939">
        <v>100</v>
      </c>
      <c r="G939">
        <v>100</v>
      </c>
      <c r="H939">
        <v>147.4</v>
      </c>
      <c r="I939">
        <v>154.9</v>
      </c>
      <c r="J939">
        <v>100</v>
      </c>
      <c r="K939">
        <v>100</v>
      </c>
      <c r="L939" s="1" t="s">
        <v>2318</v>
      </c>
      <c r="M939" t="s">
        <v>302</v>
      </c>
      <c r="N939">
        <v>2</v>
      </c>
    </row>
    <row r="940" spans="1:14" x14ac:dyDescent="0.25">
      <c r="A940" s="3" t="str">
        <f>HYPERLINK("http://www.ncbi.nlm.nih.gov/gene/1409","1409")</f>
        <v>1409</v>
      </c>
      <c r="B940" s="1" t="s">
        <v>2320</v>
      </c>
      <c r="C940" t="s">
        <v>2321</v>
      </c>
      <c r="D940">
        <v>118.6</v>
      </c>
      <c r="E940">
        <v>121.9</v>
      </c>
      <c r="F940">
        <v>99.9</v>
      </c>
      <c r="G940">
        <v>97.5</v>
      </c>
      <c r="H940">
        <v>237.2</v>
      </c>
      <c r="I940">
        <v>243.5</v>
      </c>
      <c r="J940">
        <v>100</v>
      </c>
      <c r="K940">
        <v>100</v>
      </c>
      <c r="L940" s="1" t="s">
        <v>2320</v>
      </c>
      <c r="M940" t="s">
        <v>2322</v>
      </c>
      <c r="N940">
        <v>3</v>
      </c>
    </row>
    <row r="941" spans="1:14" x14ac:dyDescent="0.25">
      <c r="A941" s="3" t="str">
        <f>HYPERLINK("http://www.ncbi.nlm.nih.gov/gene/1410","1410")</f>
        <v>1410</v>
      </c>
      <c r="B941" s="1" t="s">
        <v>2323</v>
      </c>
      <c r="C941" t="s">
        <v>2324</v>
      </c>
      <c r="D941">
        <v>102.1</v>
      </c>
      <c r="E941">
        <v>108.3</v>
      </c>
      <c r="F941">
        <v>100</v>
      </c>
      <c r="G941">
        <v>99.2</v>
      </c>
      <c r="H941">
        <v>129.69999999999999</v>
      </c>
      <c r="I941">
        <v>133.5</v>
      </c>
      <c r="J941">
        <v>100</v>
      </c>
      <c r="K941">
        <v>100</v>
      </c>
      <c r="L941" s="1" t="s">
        <v>2323</v>
      </c>
      <c r="M941" t="s">
        <v>2325</v>
      </c>
      <c r="N941">
        <v>5</v>
      </c>
    </row>
    <row r="942" spans="1:14" x14ac:dyDescent="0.25">
      <c r="A942" s="3" t="str">
        <f>HYPERLINK("http://www.ncbi.nlm.nih.gov/gene/1411","1411")</f>
        <v>1411</v>
      </c>
      <c r="B942" s="1" t="s">
        <v>2326</v>
      </c>
      <c r="C942" t="s">
        <v>2327</v>
      </c>
      <c r="D942">
        <v>128.6</v>
      </c>
      <c r="E942">
        <v>134.4</v>
      </c>
      <c r="F942">
        <v>100</v>
      </c>
      <c r="G942">
        <v>99.4</v>
      </c>
      <c r="H942">
        <v>154.69999999999999</v>
      </c>
      <c r="I942">
        <v>158.19999999999999</v>
      </c>
      <c r="J942">
        <v>100</v>
      </c>
      <c r="K942">
        <v>100</v>
      </c>
      <c r="L942" s="1" t="s">
        <v>2326</v>
      </c>
      <c r="M942" t="s">
        <v>302</v>
      </c>
      <c r="N942">
        <v>2</v>
      </c>
    </row>
    <row r="943" spans="1:14" x14ac:dyDescent="0.25">
      <c r="A943" s="3" t="str">
        <f>HYPERLINK("http://www.ncbi.nlm.nih.gov/gene/1412","1412")</f>
        <v>1412</v>
      </c>
      <c r="B943" s="1" t="s">
        <v>2328</v>
      </c>
      <c r="C943" t="s">
        <v>2329</v>
      </c>
      <c r="D943">
        <v>155.9</v>
      </c>
      <c r="E943">
        <v>163</v>
      </c>
      <c r="F943">
        <v>100</v>
      </c>
      <c r="G943">
        <v>100</v>
      </c>
      <c r="H943">
        <v>149.9</v>
      </c>
      <c r="I943">
        <v>154.4</v>
      </c>
      <c r="J943">
        <v>100</v>
      </c>
      <c r="K943">
        <v>100</v>
      </c>
      <c r="L943" s="1" t="s">
        <v>2328</v>
      </c>
      <c r="M943" t="s">
        <v>302</v>
      </c>
      <c r="N943">
        <v>2</v>
      </c>
    </row>
    <row r="944" spans="1:14" x14ac:dyDescent="0.25">
      <c r="A944" s="3" t="str">
        <f>HYPERLINK("http://www.ncbi.nlm.nih.gov/gene/1413","1413")</f>
        <v>1413</v>
      </c>
      <c r="B944" s="1" t="s">
        <v>2330</v>
      </c>
      <c r="C944" t="s">
        <v>2331</v>
      </c>
      <c r="D944">
        <v>122.7</v>
      </c>
      <c r="E944">
        <v>126.8</v>
      </c>
      <c r="F944">
        <v>100</v>
      </c>
      <c r="G944">
        <v>100</v>
      </c>
      <c r="H944">
        <v>128.30000000000001</v>
      </c>
      <c r="I944">
        <v>131.5</v>
      </c>
      <c r="J944">
        <v>100</v>
      </c>
      <c r="K944">
        <v>100</v>
      </c>
      <c r="L944" s="1" t="s">
        <v>2330</v>
      </c>
      <c r="M944" t="s">
        <v>793</v>
      </c>
      <c r="N944">
        <v>2</v>
      </c>
    </row>
    <row r="945" spans="1:14" x14ac:dyDescent="0.25">
      <c r="A945" s="3" t="str">
        <f>HYPERLINK("http://www.ncbi.nlm.nih.gov/gene/1414","1414")</f>
        <v>1414</v>
      </c>
      <c r="B945" s="1" t="s">
        <v>2332</v>
      </c>
      <c r="C945" t="s">
        <v>2333</v>
      </c>
      <c r="D945">
        <v>125.9</v>
      </c>
      <c r="E945">
        <v>129.80000000000001</v>
      </c>
      <c r="F945">
        <v>100</v>
      </c>
      <c r="G945">
        <v>100</v>
      </c>
      <c r="H945">
        <v>170.3</v>
      </c>
      <c r="I945">
        <v>176</v>
      </c>
      <c r="J945">
        <v>100</v>
      </c>
      <c r="K945">
        <v>100</v>
      </c>
      <c r="L945" s="1" t="s">
        <v>2332</v>
      </c>
      <c r="M945" t="s">
        <v>2322</v>
      </c>
      <c r="N945">
        <v>3</v>
      </c>
    </row>
    <row r="946" spans="1:14" x14ac:dyDescent="0.25">
      <c r="A946" s="3" t="str">
        <f>HYPERLINK("http://www.ncbi.nlm.nih.gov/gene/1415","1415")</f>
        <v>1415</v>
      </c>
      <c r="B946" s="1" t="s">
        <v>2334</v>
      </c>
      <c r="C946" t="s">
        <v>2335</v>
      </c>
      <c r="D946">
        <v>142.30000000000001</v>
      </c>
      <c r="E946">
        <v>149.9</v>
      </c>
      <c r="F946">
        <v>100</v>
      </c>
      <c r="G946">
        <v>100</v>
      </c>
      <c r="H946">
        <v>147.1</v>
      </c>
      <c r="I946">
        <v>151.5</v>
      </c>
      <c r="J946">
        <v>100</v>
      </c>
      <c r="K946">
        <v>100</v>
      </c>
      <c r="L946" s="1" t="s">
        <v>2334</v>
      </c>
      <c r="M946" t="s">
        <v>302</v>
      </c>
      <c r="N946">
        <v>2</v>
      </c>
    </row>
    <row r="947" spans="1:14" x14ac:dyDescent="0.25">
      <c r="A947" s="3" t="str">
        <f>HYPERLINK("http://www.ncbi.nlm.nih.gov/gene/1417","1417")</f>
        <v>1417</v>
      </c>
      <c r="B947" s="1" t="s">
        <v>2336</v>
      </c>
      <c r="C947" t="s">
        <v>2337</v>
      </c>
      <c r="D947">
        <v>160.9</v>
      </c>
      <c r="E947">
        <v>168.8</v>
      </c>
      <c r="F947">
        <v>100</v>
      </c>
      <c r="G947">
        <v>100</v>
      </c>
      <c r="H947">
        <v>114.5</v>
      </c>
      <c r="I947">
        <v>118.2</v>
      </c>
      <c r="J947">
        <v>100</v>
      </c>
      <c r="K947">
        <v>100</v>
      </c>
      <c r="L947" s="1" t="s">
        <v>2336</v>
      </c>
      <c r="M947" t="s">
        <v>2290</v>
      </c>
      <c r="N947">
        <v>3</v>
      </c>
    </row>
    <row r="948" spans="1:14" x14ac:dyDescent="0.25">
      <c r="A948" s="3" t="str">
        <f>HYPERLINK("http://www.ncbi.nlm.nih.gov/gene/1419","1419")</f>
        <v>1419</v>
      </c>
      <c r="B948" s="1" t="s">
        <v>2338</v>
      </c>
      <c r="C948" t="s">
        <v>2339</v>
      </c>
      <c r="D948">
        <v>108.7</v>
      </c>
      <c r="E948">
        <v>111.7</v>
      </c>
      <c r="F948">
        <v>100</v>
      </c>
      <c r="G948">
        <v>99.6</v>
      </c>
      <c r="H948">
        <v>180.6</v>
      </c>
      <c r="I948">
        <v>184.4</v>
      </c>
      <c r="J948">
        <v>100</v>
      </c>
      <c r="K948">
        <v>100</v>
      </c>
      <c r="L948" s="1" t="s">
        <v>2338</v>
      </c>
      <c r="M948" t="s">
        <v>302</v>
      </c>
      <c r="N948">
        <v>2</v>
      </c>
    </row>
    <row r="949" spans="1:14" x14ac:dyDescent="0.25">
      <c r="A949" s="3" t="str">
        <f>HYPERLINK("http://www.ncbi.nlm.nih.gov/gene/1420","1420")</f>
        <v>1420</v>
      </c>
      <c r="B949" s="1" t="s">
        <v>2340</v>
      </c>
      <c r="C949" t="s">
        <v>2341</v>
      </c>
      <c r="D949">
        <v>135</v>
      </c>
      <c r="E949">
        <v>137.6</v>
      </c>
      <c r="F949">
        <v>99.8</v>
      </c>
      <c r="G949">
        <v>96.9</v>
      </c>
      <c r="H949">
        <v>170.9</v>
      </c>
      <c r="I949">
        <v>175.6</v>
      </c>
      <c r="J949">
        <v>100</v>
      </c>
      <c r="K949">
        <v>100</v>
      </c>
      <c r="L949" s="1" t="s">
        <v>2340</v>
      </c>
      <c r="M949" t="s">
        <v>302</v>
      </c>
      <c r="N949">
        <v>2</v>
      </c>
    </row>
    <row r="950" spans="1:14" x14ac:dyDescent="0.25">
      <c r="A950" s="3" t="str">
        <f>HYPERLINK("http://www.ncbi.nlm.nih.gov/gene/1421","1421")</f>
        <v>1421</v>
      </c>
      <c r="B950" s="1" t="s">
        <v>2342</v>
      </c>
      <c r="C950" t="s">
        <v>2343</v>
      </c>
      <c r="D950">
        <v>113.3</v>
      </c>
      <c r="E950">
        <v>112</v>
      </c>
      <c r="F950">
        <v>100</v>
      </c>
      <c r="G950">
        <v>98.9</v>
      </c>
      <c r="H950">
        <v>157.5</v>
      </c>
      <c r="I950">
        <v>159.5</v>
      </c>
      <c r="J950">
        <v>100</v>
      </c>
      <c r="K950">
        <v>100</v>
      </c>
      <c r="L950" s="1" t="s">
        <v>2342</v>
      </c>
      <c r="M950" t="s">
        <v>302</v>
      </c>
      <c r="N950">
        <v>2</v>
      </c>
    </row>
    <row r="951" spans="1:14" x14ac:dyDescent="0.25">
      <c r="A951" s="3" t="str">
        <f>HYPERLINK("http://www.ncbi.nlm.nih.gov/gene/1427","1427")</f>
        <v>1427</v>
      </c>
      <c r="B951" s="1" t="s">
        <v>2344</v>
      </c>
      <c r="C951" t="s">
        <v>2345</v>
      </c>
      <c r="D951">
        <v>102.5</v>
      </c>
      <c r="E951">
        <v>109.8</v>
      </c>
      <c r="F951">
        <v>94.1</v>
      </c>
      <c r="G951">
        <v>86.6</v>
      </c>
      <c r="H951">
        <v>124.4</v>
      </c>
      <c r="I951">
        <v>130.30000000000001</v>
      </c>
      <c r="J951">
        <v>100</v>
      </c>
      <c r="K951">
        <v>100</v>
      </c>
      <c r="L951" s="1" t="s">
        <v>2344</v>
      </c>
      <c r="M951" t="s">
        <v>302</v>
      </c>
      <c r="N951">
        <v>2</v>
      </c>
    </row>
    <row r="952" spans="1:14" x14ac:dyDescent="0.25">
      <c r="A952" s="3" t="str">
        <f>HYPERLINK("http://www.ncbi.nlm.nih.gov/gene/51084","51084")</f>
        <v>51084</v>
      </c>
      <c r="B952" s="1" t="s">
        <v>2346</v>
      </c>
      <c r="C952" t="s">
        <v>2347</v>
      </c>
      <c r="D952">
        <v>125.3</v>
      </c>
      <c r="E952">
        <v>129.19999999999999</v>
      </c>
      <c r="F952">
        <v>100</v>
      </c>
      <c r="G952">
        <v>99.9</v>
      </c>
      <c r="H952">
        <v>140.9</v>
      </c>
      <c r="I952">
        <v>144.4</v>
      </c>
      <c r="J952">
        <v>100</v>
      </c>
      <c r="K952">
        <v>100</v>
      </c>
      <c r="L952" s="1" t="s">
        <v>2346</v>
      </c>
      <c r="M952" t="s">
        <v>1120</v>
      </c>
      <c r="N952">
        <v>2</v>
      </c>
    </row>
    <row r="953" spans="1:14" x14ac:dyDescent="0.25">
      <c r="A953" s="3" t="str">
        <f>HYPERLINK("http://www.ncbi.nlm.nih.gov/gene/1428","1428")</f>
        <v>1428</v>
      </c>
      <c r="B953" s="1" t="s">
        <v>2348</v>
      </c>
      <c r="C953" t="s">
        <v>2349</v>
      </c>
      <c r="D953">
        <v>89.6</v>
      </c>
      <c r="E953">
        <v>92.9</v>
      </c>
      <c r="F953">
        <v>100</v>
      </c>
      <c r="G953">
        <v>99.6</v>
      </c>
      <c r="H953">
        <v>140.80000000000001</v>
      </c>
      <c r="I953">
        <v>144.6</v>
      </c>
      <c r="J953">
        <v>100</v>
      </c>
      <c r="K953">
        <v>100</v>
      </c>
      <c r="L953" s="1" t="s">
        <v>2348</v>
      </c>
      <c r="M953" t="s">
        <v>76</v>
      </c>
      <c r="N953">
        <v>2</v>
      </c>
    </row>
    <row r="954" spans="1:14" x14ac:dyDescent="0.25">
      <c r="A954" s="3" t="str">
        <f>HYPERLINK("http://www.ncbi.nlm.nih.gov/gene/7812","7812")</f>
        <v>7812</v>
      </c>
      <c r="B954" s="1" t="s">
        <v>2350</v>
      </c>
      <c r="C954" t="s">
        <v>2351</v>
      </c>
      <c r="D954">
        <v>176.5</v>
      </c>
      <c r="E954">
        <v>184.7</v>
      </c>
      <c r="F954">
        <v>99.9</v>
      </c>
      <c r="G954">
        <v>99.5</v>
      </c>
      <c r="H954">
        <v>143.1</v>
      </c>
      <c r="I954">
        <v>147</v>
      </c>
      <c r="J954">
        <v>100</v>
      </c>
      <c r="K954">
        <v>100</v>
      </c>
      <c r="L954" s="1" t="s">
        <v>2350</v>
      </c>
      <c r="M954" t="s">
        <v>189</v>
      </c>
      <c r="N954">
        <v>2</v>
      </c>
    </row>
    <row r="955" spans="1:14" x14ac:dyDescent="0.25">
      <c r="A955" s="3" t="str">
        <f>HYPERLINK("http://www.ncbi.nlm.nih.gov/gene/1436","1436")</f>
        <v>1436</v>
      </c>
      <c r="B955" s="1" t="s">
        <v>2352</v>
      </c>
      <c r="C955" t="s">
        <v>2353</v>
      </c>
      <c r="D955">
        <v>122.7</v>
      </c>
      <c r="E955">
        <v>125.5</v>
      </c>
      <c r="F955">
        <v>99.9</v>
      </c>
      <c r="G955">
        <v>99.3</v>
      </c>
      <c r="H955">
        <v>130.5</v>
      </c>
      <c r="I955">
        <v>134.69999999999999</v>
      </c>
      <c r="J955">
        <v>100</v>
      </c>
      <c r="K955">
        <v>100</v>
      </c>
      <c r="L955" s="1" t="s">
        <v>2352</v>
      </c>
      <c r="M955" t="s">
        <v>2354</v>
      </c>
      <c r="N955">
        <v>6</v>
      </c>
    </row>
    <row r="956" spans="1:14" x14ac:dyDescent="0.25">
      <c r="A956" s="3" t="str">
        <f>HYPERLINK("http://www.ncbi.nlm.nih.gov/gene/1438","1438")</f>
        <v>1438</v>
      </c>
      <c r="B956" s="1" t="s">
        <v>2355</v>
      </c>
      <c r="C956" t="s">
        <v>2356</v>
      </c>
      <c r="D956">
        <v>59.5</v>
      </c>
      <c r="E956">
        <v>60.8</v>
      </c>
      <c r="F956">
        <v>89.9</v>
      </c>
      <c r="G956">
        <v>87.5</v>
      </c>
      <c r="H956">
        <v>100.2</v>
      </c>
      <c r="I956">
        <v>102.9</v>
      </c>
      <c r="J956">
        <v>95.6</v>
      </c>
      <c r="K956">
        <v>92.1</v>
      </c>
      <c r="L956" s="1" t="s">
        <v>2355</v>
      </c>
      <c r="M956" t="s">
        <v>2357</v>
      </c>
      <c r="N956">
        <v>2</v>
      </c>
    </row>
    <row r="957" spans="1:14" x14ac:dyDescent="0.25">
      <c r="A957" s="3" t="str">
        <f>HYPERLINK("http://www.ncbi.nlm.nih.gov/gene/1439","1439")</f>
        <v>1439</v>
      </c>
      <c r="B957" s="1" t="s">
        <v>2358</v>
      </c>
      <c r="C957" t="s">
        <v>2359</v>
      </c>
      <c r="D957">
        <v>144.1</v>
      </c>
      <c r="E957">
        <v>139.80000000000001</v>
      </c>
      <c r="F957">
        <v>100</v>
      </c>
      <c r="G957">
        <v>99</v>
      </c>
      <c r="H957">
        <v>155.69999999999999</v>
      </c>
      <c r="I957">
        <v>159</v>
      </c>
      <c r="J957">
        <v>100</v>
      </c>
      <c r="K957">
        <v>100</v>
      </c>
      <c r="L957" s="1" t="s">
        <v>2358</v>
      </c>
      <c r="M957" t="s">
        <v>1097</v>
      </c>
      <c r="N957">
        <v>3</v>
      </c>
    </row>
    <row r="958" spans="1:14" x14ac:dyDescent="0.25">
      <c r="A958" s="3" t="str">
        <f>HYPERLINK("http://www.ncbi.nlm.nih.gov/gene/1441","1441")</f>
        <v>1441</v>
      </c>
      <c r="B958" s="1" t="s">
        <v>2360</v>
      </c>
      <c r="C958" t="s">
        <v>2361</v>
      </c>
      <c r="D958">
        <v>107.7</v>
      </c>
      <c r="E958">
        <v>108.5</v>
      </c>
      <c r="F958">
        <v>99.6</v>
      </c>
      <c r="G958">
        <v>98.2</v>
      </c>
      <c r="H958">
        <v>137.19999999999999</v>
      </c>
      <c r="I958">
        <v>140.80000000000001</v>
      </c>
      <c r="J958">
        <v>100</v>
      </c>
      <c r="K958">
        <v>100</v>
      </c>
      <c r="L958" s="1" t="s">
        <v>2360</v>
      </c>
      <c r="M958" t="s">
        <v>2362</v>
      </c>
      <c r="N958">
        <v>3</v>
      </c>
    </row>
    <row r="959" spans="1:14" x14ac:dyDescent="0.25">
      <c r="A959" s="3" t="str">
        <f>HYPERLINK("http://www.ncbi.nlm.nih.gov/gene/55790","55790")</f>
        <v>55790</v>
      </c>
      <c r="B959" s="1" t="s">
        <v>2363</v>
      </c>
      <c r="C959" t="s">
        <v>2364</v>
      </c>
      <c r="D959">
        <v>176.3</v>
      </c>
      <c r="E959">
        <v>182.2</v>
      </c>
      <c r="F959">
        <v>100</v>
      </c>
      <c r="G959">
        <v>99.8</v>
      </c>
      <c r="H959">
        <v>164.7</v>
      </c>
      <c r="I959">
        <v>170.7</v>
      </c>
      <c r="J959">
        <v>100</v>
      </c>
      <c r="K959">
        <v>100</v>
      </c>
      <c r="L959" s="1" t="s">
        <v>2363</v>
      </c>
      <c r="M959" t="s">
        <v>1487</v>
      </c>
      <c r="N959">
        <v>2</v>
      </c>
    </row>
    <row r="960" spans="1:14" x14ac:dyDescent="0.25">
      <c r="A960" s="3" t="str">
        <f>HYPERLINK("http://www.ncbi.nlm.nih.gov/gene/1453","1453")</f>
        <v>1453</v>
      </c>
      <c r="B960" s="1" t="s">
        <v>2365</v>
      </c>
      <c r="C960" t="s">
        <v>2366</v>
      </c>
      <c r="D960">
        <v>122.3</v>
      </c>
      <c r="E960">
        <v>128.1</v>
      </c>
      <c r="F960">
        <v>97.7</v>
      </c>
      <c r="G960">
        <v>95.1</v>
      </c>
      <c r="H960">
        <v>144.9</v>
      </c>
      <c r="I960">
        <v>149.4</v>
      </c>
      <c r="J960">
        <v>100</v>
      </c>
      <c r="K960">
        <v>100</v>
      </c>
      <c r="L960" s="1" t="s">
        <v>2365</v>
      </c>
      <c r="M960" t="s">
        <v>285</v>
      </c>
      <c r="N960">
        <v>1</v>
      </c>
    </row>
    <row r="961" spans="1:14" x14ac:dyDescent="0.25">
      <c r="A961" s="3" t="str">
        <f>HYPERLINK("http://www.ncbi.nlm.nih.gov/gene/1457","1457")</f>
        <v>1457</v>
      </c>
      <c r="B961" s="1" t="s">
        <v>2367</v>
      </c>
      <c r="C961" t="s">
        <v>2368</v>
      </c>
      <c r="D961">
        <v>106.1</v>
      </c>
      <c r="E961">
        <v>108.1</v>
      </c>
      <c r="F961">
        <v>81.5</v>
      </c>
      <c r="G961">
        <v>77.7</v>
      </c>
      <c r="H961">
        <v>143.9</v>
      </c>
      <c r="I961">
        <v>147.30000000000001</v>
      </c>
      <c r="J961">
        <v>94</v>
      </c>
      <c r="K961">
        <v>94</v>
      </c>
      <c r="L961" s="1" t="s">
        <v>2367</v>
      </c>
      <c r="M961" t="s">
        <v>189</v>
      </c>
      <c r="N961">
        <v>2</v>
      </c>
    </row>
    <row r="962" spans="1:14" x14ac:dyDescent="0.25">
      <c r="A962" s="3" t="str">
        <f>HYPERLINK("http://www.ncbi.nlm.nih.gov/gene/1460","1460")</f>
        <v>1460</v>
      </c>
      <c r="B962" s="1" t="s">
        <v>2369</v>
      </c>
      <c r="C962" t="s">
        <v>2370</v>
      </c>
      <c r="D962">
        <v>135</v>
      </c>
      <c r="E962">
        <v>140.30000000000001</v>
      </c>
      <c r="F962">
        <v>100</v>
      </c>
      <c r="G962">
        <v>100</v>
      </c>
      <c r="H962">
        <v>204.6</v>
      </c>
      <c r="I962">
        <v>208.4</v>
      </c>
      <c r="J962">
        <v>100</v>
      </c>
      <c r="K962">
        <v>100</v>
      </c>
      <c r="L962" s="1" t="s">
        <v>2369</v>
      </c>
      <c r="M962" t="s">
        <v>995</v>
      </c>
      <c r="N962">
        <v>3</v>
      </c>
    </row>
    <row r="963" spans="1:14" x14ac:dyDescent="0.25">
      <c r="A963" s="3" t="str">
        <f>HYPERLINK("http://www.ncbi.nlm.nih.gov/gene/79848","79848")</f>
        <v>79848</v>
      </c>
      <c r="B963" s="1" t="s">
        <v>2371</v>
      </c>
      <c r="C963" t="s">
        <v>2372</v>
      </c>
      <c r="D963">
        <v>127.1</v>
      </c>
      <c r="E963">
        <v>132.4</v>
      </c>
      <c r="F963">
        <v>99.8</v>
      </c>
      <c r="G963">
        <v>98.7</v>
      </c>
      <c r="H963">
        <v>129.9</v>
      </c>
      <c r="I963">
        <v>133.4</v>
      </c>
      <c r="J963">
        <v>100</v>
      </c>
      <c r="K963">
        <v>100</v>
      </c>
      <c r="L963" s="1" t="s">
        <v>2371</v>
      </c>
      <c r="M963" t="s">
        <v>372</v>
      </c>
      <c r="N963">
        <v>6</v>
      </c>
    </row>
    <row r="964" spans="1:14" x14ac:dyDescent="0.25">
      <c r="A964" s="3" t="str">
        <f>HYPERLINK("http://www.ncbi.nlm.nih.gov/gene/8048","8048")</f>
        <v>8048</v>
      </c>
      <c r="B964" s="1" t="s">
        <v>2373</v>
      </c>
      <c r="C964" t="s">
        <v>2374</v>
      </c>
      <c r="D964">
        <v>123.8</v>
      </c>
      <c r="E964">
        <v>127.2</v>
      </c>
      <c r="F964">
        <v>100</v>
      </c>
      <c r="G964">
        <v>99.1</v>
      </c>
      <c r="H964">
        <v>154.4</v>
      </c>
      <c r="I964">
        <v>159</v>
      </c>
      <c r="J964">
        <v>100</v>
      </c>
      <c r="K964">
        <v>100</v>
      </c>
      <c r="L964" s="1" t="s">
        <v>2373</v>
      </c>
      <c r="M964" t="s">
        <v>2375</v>
      </c>
      <c r="N964">
        <v>2</v>
      </c>
    </row>
    <row r="965" spans="1:14" x14ac:dyDescent="0.25">
      <c r="A965" s="3" t="str">
        <f>HYPERLINK("http://www.ncbi.nlm.nih.gov/gene/1471","1471")</f>
        <v>1471</v>
      </c>
      <c r="B965" s="1" t="s">
        <v>2376</v>
      </c>
      <c r="C965" t="s">
        <v>2377</v>
      </c>
      <c r="D965">
        <v>72.099999999999994</v>
      </c>
      <c r="E965">
        <v>73.2</v>
      </c>
      <c r="F965">
        <v>93.4</v>
      </c>
      <c r="G965">
        <v>66</v>
      </c>
      <c r="H965">
        <v>128.30000000000001</v>
      </c>
      <c r="I965">
        <v>131.80000000000001</v>
      </c>
      <c r="J965">
        <v>100</v>
      </c>
      <c r="K965">
        <v>100</v>
      </c>
      <c r="L965" s="1" t="s">
        <v>2376</v>
      </c>
      <c r="M965" t="s">
        <v>661</v>
      </c>
      <c r="N965">
        <v>2</v>
      </c>
    </row>
    <row r="966" spans="1:14" x14ac:dyDescent="0.25">
      <c r="A966" s="3" t="str">
        <f>HYPERLINK("http://www.ncbi.nlm.nih.gov/gene/1474","1474")</f>
        <v>1474</v>
      </c>
      <c r="B966" s="1" t="s">
        <v>2378</v>
      </c>
      <c r="C966" t="s">
        <v>2379</v>
      </c>
      <c r="D966">
        <v>107.5</v>
      </c>
      <c r="E966">
        <v>108.4</v>
      </c>
      <c r="F966">
        <v>98.2</v>
      </c>
      <c r="G966">
        <v>92.5</v>
      </c>
      <c r="H966">
        <v>116.8</v>
      </c>
      <c r="I966">
        <v>118.7</v>
      </c>
      <c r="J966">
        <v>100</v>
      </c>
      <c r="K966">
        <v>100</v>
      </c>
      <c r="L966" s="1" t="s">
        <v>2378</v>
      </c>
      <c r="M966" t="s">
        <v>47</v>
      </c>
      <c r="N966">
        <v>2</v>
      </c>
    </row>
    <row r="967" spans="1:14" x14ac:dyDescent="0.25">
      <c r="A967" s="3" t="str">
        <f>HYPERLINK("http://www.ncbi.nlm.nih.gov/gene/1475","1475")</f>
        <v>1475</v>
      </c>
      <c r="B967" s="1" t="s">
        <v>2380</v>
      </c>
      <c r="C967" t="s">
        <v>2381</v>
      </c>
      <c r="D967">
        <v>132.5</v>
      </c>
      <c r="E967">
        <v>140.80000000000001</v>
      </c>
      <c r="F967">
        <v>100</v>
      </c>
      <c r="G967">
        <v>99.8</v>
      </c>
      <c r="H967">
        <v>139.19999999999999</v>
      </c>
      <c r="I967">
        <v>143.69999999999999</v>
      </c>
      <c r="J967">
        <v>100</v>
      </c>
      <c r="K967">
        <v>100</v>
      </c>
      <c r="L967" s="1" t="s">
        <v>2380</v>
      </c>
      <c r="M967" t="s">
        <v>246</v>
      </c>
      <c r="N967">
        <v>3</v>
      </c>
    </row>
    <row r="968" spans="1:14" x14ac:dyDescent="0.25">
      <c r="A968" s="3" t="str">
        <f>HYPERLINK("http://www.ncbi.nlm.nih.gov/gene/1476","1476")</f>
        <v>1476</v>
      </c>
      <c r="B968" s="1" t="s">
        <v>2382</v>
      </c>
      <c r="C968" t="s">
        <v>2383</v>
      </c>
      <c r="D968">
        <v>83</v>
      </c>
      <c r="E968">
        <v>85</v>
      </c>
      <c r="F968">
        <v>99.6</v>
      </c>
      <c r="G968">
        <v>89.8</v>
      </c>
      <c r="H968">
        <v>124</v>
      </c>
      <c r="I968">
        <v>127</v>
      </c>
      <c r="J968">
        <v>100</v>
      </c>
      <c r="K968">
        <v>100</v>
      </c>
      <c r="L968" s="1" t="s">
        <v>2382</v>
      </c>
      <c r="M968" t="s">
        <v>2384</v>
      </c>
      <c r="N968">
        <v>5</v>
      </c>
    </row>
    <row r="969" spans="1:14" x14ac:dyDescent="0.25">
      <c r="A969" s="3" t="str">
        <f>HYPERLINK("http://www.ncbi.nlm.nih.gov/gene/1487","1487")</f>
        <v>1487</v>
      </c>
      <c r="B969" s="1" t="s">
        <v>2385</v>
      </c>
      <c r="C969" t="s">
        <v>2386</v>
      </c>
      <c r="D969">
        <v>89.6</v>
      </c>
      <c r="E969">
        <v>96.7</v>
      </c>
      <c r="F969">
        <v>93.2</v>
      </c>
      <c r="G969">
        <v>86.9</v>
      </c>
      <c r="H969">
        <v>185.4</v>
      </c>
      <c r="I969">
        <v>189.4</v>
      </c>
      <c r="J969">
        <v>99.5</v>
      </c>
      <c r="K969">
        <v>98.6</v>
      </c>
      <c r="L969" s="1" t="s">
        <v>2385</v>
      </c>
      <c r="M969" t="s">
        <v>2387</v>
      </c>
      <c r="N969">
        <v>4</v>
      </c>
    </row>
    <row r="970" spans="1:14" x14ac:dyDescent="0.25">
      <c r="A970" s="3" t="str">
        <f>HYPERLINK("http://www.ncbi.nlm.nih.gov/gene/80169","80169")</f>
        <v>80169</v>
      </c>
      <c r="B970" s="1" t="s">
        <v>2388</v>
      </c>
      <c r="C970" t="s">
        <v>2389</v>
      </c>
      <c r="D970">
        <v>124</v>
      </c>
      <c r="E970">
        <v>128</v>
      </c>
      <c r="F970">
        <v>100</v>
      </c>
      <c r="G970">
        <v>99.6</v>
      </c>
      <c r="H970">
        <v>131.30000000000001</v>
      </c>
      <c r="I970">
        <v>134.80000000000001</v>
      </c>
      <c r="J970">
        <v>100</v>
      </c>
      <c r="K970">
        <v>100</v>
      </c>
      <c r="L970" s="1" t="s">
        <v>2388</v>
      </c>
      <c r="M970" t="s">
        <v>2390</v>
      </c>
      <c r="N970">
        <v>8</v>
      </c>
    </row>
    <row r="971" spans="1:14" x14ac:dyDescent="0.25">
      <c r="A971" s="3" t="str">
        <f>HYPERLINK("http://www.ncbi.nlm.nih.gov/gene/10664","10664")</f>
        <v>10664</v>
      </c>
      <c r="B971" s="1" t="s">
        <v>2391</v>
      </c>
      <c r="C971" t="s">
        <v>2392</v>
      </c>
      <c r="D971">
        <v>144.6</v>
      </c>
      <c r="E971">
        <v>150.1</v>
      </c>
      <c r="F971">
        <v>100</v>
      </c>
      <c r="G971">
        <v>99.3</v>
      </c>
      <c r="H971">
        <v>137.1</v>
      </c>
      <c r="I971">
        <v>141.9</v>
      </c>
      <c r="J971">
        <v>100</v>
      </c>
      <c r="K971">
        <v>100</v>
      </c>
      <c r="L971" s="1" t="s">
        <v>2391</v>
      </c>
      <c r="M971" t="s">
        <v>2393</v>
      </c>
      <c r="N971">
        <v>3</v>
      </c>
    </row>
    <row r="972" spans="1:14" x14ac:dyDescent="0.25">
      <c r="A972" s="3" t="str">
        <f>HYPERLINK("http://www.ncbi.nlm.nih.gov/gene/9150","9150")</f>
        <v>9150</v>
      </c>
      <c r="B972" s="1" t="s">
        <v>2394</v>
      </c>
      <c r="C972" t="s">
        <v>2395</v>
      </c>
      <c r="D972">
        <v>133.19999999999999</v>
      </c>
      <c r="E972">
        <v>129.4</v>
      </c>
      <c r="F972">
        <v>88.4</v>
      </c>
      <c r="G972">
        <v>84.3</v>
      </c>
      <c r="H972">
        <v>187.1</v>
      </c>
      <c r="I972">
        <v>190.1</v>
      </c>
      <c r="J972">
        <v>100</v>
      </c>
      <c r="K972">
        <v>99.4</v>
      </c>
      <c r="L972" s="1" t="s">
        <v>2394</v>
      </c>
      <c r="M972" t="s">
        <v>2396</v>
      </c>
      <c r="N972">
        <v>5</v>
      </c>
    </row>
    <row r="973" spans="1:14" x14ac:dyDescent="0.25">
      <c r="A973" s="3" t="str">
        <f>HYPERLINK("http://www.ncbi.nlm.nih.gov/gene/1491","1491")</f>
        <v>1491</v>
      </c>
      <c r="B973" s="1" t="s">
        <v>2397</v>
      </c>
      <c r="D973">
        <v>160.1</v>
      </c>
      <c r="E973">
        <v>167</v>
      </c>
      <c r="F973">
        <v>100</v>
      </c>
      <c r="G973">
        <v>100</v>
      </c>
      <c r="H973">
        <v>132.80000000000001</v>
      </c>
      <c r="I973">
        <v>136.1</v>
      </c>
      <c r="J973">
        <v>100</v>
      </c>
      <c r="K973">
        <v>100</v>
      </c>
      <c r="L973" s="1" t="s">
        <v>2397</v>
      </c>
      <c r="M973" t="s">
        <v>93</v>
      </c>
      <c r="N973">
        <v>2</v>
      </c>
    </row>
    <row r="974" spans="1:14" x14ac:dyDescent="0.25">
      <c r="A974" s="3" t="str">
        <f>HYPERLINK("http://www.ncbi.nlm.nih.gov/gene/115908","115908")</f>
        <v>115908</v>
      </c>
      <c r="B974" s="1" t="s">
        <v>2398</v>
      </c>
      <c r="D974">
        <v>115.3</v>
      </c>
      <c r="E974">
        <v>122.5</v>
      </c>
      <c r="F974">
        <v>93.8</v>
      </c>
      <c r="G974">
        <v>87.5</v>
      </c>
      <c r="H974">
        <v>134.6</v>
      </c>
      <c r="I974">
        <v>139</v>
      </c>
      <c r="J974">
        <v>100</v>
      </c>
      <c r="K974">
        <v>100</v>
      </c>
      <c r="L974" s="1" t="s">
        <v>2398</v>
      </c>
      <c r="M974" t="s">
        <v>22</v>
      </c>
      <c r="N974">
        <v>1</v>
      </c>
    </row>
    <row r="975" spans="1:14" x14ac:dyDescent="0.25">
      <c r="A975" s="3" t="str">
        <f>HYPERLINK("http://www.ncbi.nlm.nih.gov/gene/1493","1493")</f>
        <v>1493</v>
      </c>
      <c r="B975" s="1" t="s">
        <v>2399</v>
      </c>
      <c r="C975" t="s">
        <v>2400</v>
      </c>
      <c r="D975">
        <v>156.69999999999999</v>
      </c>
      <c r="E975">
        <v>162.1</v>
      </c>
      <c r="F975">
        <v>100</v>
      </c>
      <c r="G975">
        <v>100</v>
      </c>
      <c r="H975">
        <v>151.9</v>
      </c>
      <c r="I975">
        <v>155.9</v>
      </c>
      <c r="J975">
        <v>100</v>
      </c>
      <c r="K975">
        <v>100</v>
      </c>
      <c r="L975" s="1" t="s">
        <v>2399</v>
      </c>
      <c r="M975" t="s">
        <v>2401</v>
      </c>
      <c r="N975">
        <v>5</v>
      </c>
    </row>
    <row r="976" spans="1:14" x14ac:dyDescent="0.25">
      <c r="A976" s="3" t="str">
        <f>HYPERLINK("http://www.ncbi.nlm.nih.gov/gene/1495","1495")</f>
        <v>1495</v>
      </c>
      <c r="B976" s="1" t="s">
        <v>2402</v>
      </c>
      <c r="C976" t="s">
        <v>2403</v>
      </c>
      <c r="D976">
        <v>120.8</v>
      </c>
      <c r="E976">
        <v>125.7</v>
      </c>
      <c r="F976">
        <v>99.3</v>
      </c>
      <c r="G976">
        <v>98.1</v>
      </c>
      <c r="H976">
        <v>130</v>
      </c>
      <c r="I976">
        <v>133.4</v>
      </c>
      <c r="J976">
        <v>100</v>
      </c>
      <c r="K976">
        <v>100</v>
      </c>
      <c r="L976" s="1" t="s">
        <v>2402</v>
      </c>
      <c r="M976" t="s">
        <v>2404</v>
      </c>
      <c r="N976">
        <v>3</v>
      </c>
    </row>
    <row r="977" spans="1:14" x14ac:dyDescent="0.25">
      <c r="A977" s="3" t="str">
        <f>HYPERLINK("http://www.ncbi.nlm.nih.gov/gene/1496","1496")</f>
        <v>1496</v>
      </c>
      <c r="B977" s="1" t="s">
        <v>2405</v>
      </c>
      <c r="C977" t="s">
        <v>2406</v>
      </c>
      <c r="D977">
        <v>114.7</v>
      </c>
      <c r="E977">
        <v>118.8</v>
      </c>
      <c r="F977">
        <v>100</v>
      </c>
      <c r="G977">
        <v>99.8</v>
      </c>
      <c r="H977">
        <v>136.9</v>
      </c>
      <c r="I977">
        <v>140.80000000000001</v>
      </c>
      <c r="J977">
        <v>100</v>
      </c>
      <c r="K977">
        <v>100</v>
      </c>
      <c r="L977" s="1" t="s">
        <v>2405</v>
      </c>
      <c r="M977" t="s">
        <v>228</v>
      </c>
      <c r="N977">
        <v>3</v>
      </c>
    </row>
    <row r="978" spans="1:14" x14ac:dyDescent="0.25">
      <c r="A978" s="3" t="str">
        <f>HYPERLINK("http://www.ncbi.nlm.nih.gov/gene/29119","29119")</f>
        <v>29119</v>
      </c>
      <c r="B978" s="1" t="s">
        <v>2407</v>
      </c>
      <c r="C978" t="s">
        <v>2408</v>
      </c>
      <c r="D978">
        <v>161.30000000000001</v>
      </c>
      <c r="E978">
        <v>168.7</v>
      </c>
      <c r="F978">
        <v>100</v>
      </c>
      <c r="G978">
        <v>99.8</v>
      </c>
      <c r="H978">
        <v>139.9</v>
      </c>
      <c r="I978">
        <v>143.80000000000001</v>
      </c>
      <c r="J978">
        <v>100</v>
      </c>
      <c r="K978">
        <v>100</v>
      </c>
      <c r="L978" s="1" t="s">
        <v>2407</v>
      </c>
      <c r="M978" t="s">
        <v>197</v>
      </c>
      <c r="N978">
        <v>2</v>
      </c>
    </row>
    <row r="979" spans="1:14" x14ac:dyDescent="0.25">
      <c r="A979" s="3" t="str">
        <f>HYPERLINK("http://www.ncbi.nlm.nih.gov/gene/1499","1499")</f>
        <v>1499</v>
      </c>
      <c r="B979" s="1" t="s">
        <v>2409</v>
      </c>
      <c r="C979" t="s">
        <v>2410</v>
      </c>
      <c r="D979">
        <v>147.4</v>
      </c>
      <c r="E979">
        <v>146.9</v>
      </c>
      <c r="F979">
        <v>100</v>
      </c>
      <c r="G979">
        <v>99.9</v>
      </c>
      <c r="H979">
        <v>147.69999999999999</v>
      </c>
      <c r="I979">
        <v>151.30000000000001</v>
      </c>
      <c r="J979">
        <v>100</v>
      </c>
      <c r="K979">
        <v>100</v>
      </c>
      <c r="L979" s="1" t="s">
        <v>2409</v>
      </c>
      <c r="M979" t="s">
        <v>2411</v>
      </c>
      <c r="N979">
        <v>3</v>
      </c>
    </row>
    <row r="980" spans="1:14" x14ac:dyDescent="0.25">
      <c r="A980" s="3" t="str">
        <f>HYPERLINK("http://www.ncbi.nlm.nih.gov/gene/56259","56259")</f>
        <v>56259</v>
      </c>
      <c r="B980" s="1" t="s">
        <v>2412</v>
      </c>
      <c r="C980" t="s">
        <v>2413</v>
      </c>
      <c r="D980">
        <v>114.6</v>
      </c>
      <c r="E980">
        <v>116.2</v>
      </c>
      <c r="F980">
        <v>99.8</v>
      </c>
      <c r="G980">
        <v>99.5</v>
      </c>
      <c r="H980">
        <v>132.4</v>
      </c>
      <c r="I980">
        <v>135.6</v>
      </c>
      <c r="J980">
        <v>100</v>
      </c>
      <c r="K980">
        <v>100</v>
      </c>
      <c r="L980" s="1" t="s">
        <v>2412</v>
      </c>
      <c r="M980" t="s">
        <v>502</v>
      </c>
      <c r="N980">
        <v>2</v>
      </c>
    </row>
    <row r="981" spans="1:14" x14ac:dyDescent="0.25">
      <c r="A981" s="3" t="str">
        <f>HYPERLINK("http://www.ncbi.nlm.nih.gov/gene/1500","1500")</f>
        <v>1500</v>
      </c>
      <c r="B981" s="1" t="s">
        <v>2414</v>
      </c>
      <c r="C981" t="s">
        <v>2415</v>
      </c>
      <c r="D981">
        <v>150</v>
      </c>
      <c r="E981">
        <v>150.1</v>
      </c>
      <c r="F981">
        <v>100</v>
      </c>
      <c r="G981">
        <v>100</v>
      </c>
      <c r="H981">
        <v>139.5</v>
      </c>
      <c r="I981">
        <v>143.1</v>
      </c>
      <c r="J981">
        <v>100</v>
      </c>
      <c r="K981">
        <v>100</v>
      </c>
      <c r="L981" s="1" t="s">
        <v>2414</v>
      </c>
      <c r="M981" t="s">
        <v>2416</v>
      </c>
      <c r="N981">
        <v>2</v>
      </c>
    </row>
    <row r="982" spans="1:14" x14ac:dyDescent="0.25">
      <c r="A982" s="3" t="str">
        <f>HYPERLINK("http://www.ncbi.nlm.nih.gov/gene/1501","1501")</f>
        <v>1501</v>
      </c>
      <c r="B982" s="1" t="s">
        <v>2417</v>
      </c>
      <c r="C982" t="s">
        <v>2418</v>
      </c>
      <c r="D982">
        <v>107.2</v>
      </c>
      <c r="E982">
        <v>112.9</v>
      </c>
      <c r="F982">
        <v>93.5</v>
      </c>
      <c r="G982">
        <v>91.1</v>
      </c>
      <c r="H982">
        <v>130.4</v>
      </c>
      <c r="I982">
        <v>133.80000000000001</v>
      </c>
      <c r="J982">
        <v>97.7</v>
      </c>
      <c r="K982">
        <v>95.5</v>
      </c>
      <c r="L982" s="1" t="s">
        <v>2417</v>
      </c>
      <c r="M982" t="s">
        <v>189</v>
      </c>
      <c r="N982">
        <v>2</v>
      </c>
    </row>
    <row r="983" spans="1:14" x14ac:dyDescent="0.25">
      <c r="A983" s="3" t="str">
        <f>HYPERLINK("http://www.ncbi.nlm.nih.gov/gene/1497","1497")</f>
        <v>1497</v>
      </c>
      <c r="B983" s="1" t="s">
        <v>2419</v>
      </c>
      <c r="C983" t="s">
        <v>2420</v>
      </c>
      <c r="D983">
        <v>123.9</v>
      </c>
      <c r="E983">
        <v>127.4</v>
      </c>
      <c r="F983">
        <v>100</v>
      </c>
      <c r="G983">
        <v>99.8</v>
      </c>
      <c r="H983">
        <v>129.5</v>
      </c>
      <c r="I983">
        <v>132.6</v>
      </c>
      <c r="J983">
        <v>100</v>
      </c>
      <c r="K983">
        <v>100</v>
      </c>
      <c r="L983" s="1" t="s">
        <v>2419</v>
      </c>
      <c r="M983" t="s">
        <v>365</v>
      </c>
      <c r="N983">
        <v>4</v>
      </c>
    </row>
    <row r="984" spans="1:14" x14ac:dyDescent="0.25">
      <c r="A984" s="3" t="str">
        <f>HYPERLINK("http://www.ncbi.nlm.nih.gov/gene/1503","1503")</f>
        <v>1503</v>
      </c>
      <c r="B984" s="1" t="s">
        <v>2421</v>
      </c>
      <c r="C984" t="s">
        <v>2422</v>
      </c>
      <c r="D984">
        <v>119.6</v>
      </c>
      <c r="E984">
        <v>121.8</v>
      </c>
      <c r="F984">
        <v>93</v>
      </c>
      <c r="G984">
        <v>93</v>
      </c>
      <c r="H984">
        <v>121.2</v>
      </c>
      <c r="I984">
        <v>124.2</v>
      </c>
      <c r="J984">
        <v>93</v>
      </c>
      <c r="K984">
        <v>93</v>
      </c>
      <c r="L984" s="1" t="s">
        <v>2421</v>
      </c>
      <c r="M984" t="s">
        <v>1097</v>
      </c>
      <c r="N984">
        <v>3</v>
      </c>
    </row>
    <row r="985" spans="1:14" x14ac:dyDescent="0.25">
      <c r="A985" s="3" t="str">
        <f>HYPERLINK("http://www.ncbi.nlm.nih.gov/gene/9646","9646")</f>
        <v>9646</v>
      </c>
      <c r="B985" s="1" t="s">
        <v>2423</v>
      </c>
      <c r="C985" t="s">
        <v>2424</v>
      </c>
      <c r="D985">
        <v>162.30000000000001</v>
      </c>
      <c r="E985">
        <v>168.6</v>
      </c>
      <c r="F985">
        <v>100</v>
      </c>
      <c r="G985">
        <v>99.9</v>
      </c>
      <c r="H985">
        <v>127.5</v>
      </c>
      <c r="I985">
        <v>130.80000000000001</v>
      </c>
      <c r="J985">
        <v>100</v>
      </c>
      <c r="K985">
        <v>100</v>
      </c>
      <c r="L985" s="1" t="s">
        <v>2423</v>
      </c>
      <c r="M985" t="s">
        <v>19</v>
      </c>
      <c r="N985">
        <v>2</v>
      </c>
    </row>
    <row r="986" spans="1:14" x14ac:dyDescent="0.25">
      <c r="A986" s="3" t="str">
        <f>HYPERLINK("http://www.ncbi.nlm.nih.gov/gene/5476","5476")</f>
        <v>5476</v>
      </c>
      <c r="B986" s="1" t="s">
        <v>2425</v>
      </c>
      <c r="C986" t="s">
        <v>2426</v>
      </c>
      <c r="D986">
        <v>151.80000000000001</v>
      </c>
      <c r="E986">
        <v>156.69999999999999</v>
      </c>
      <c r="F986">
        <v>100</v>
      </c>
      <c r="G986">
        <v>100</v>
      </c>
      <c r="H986">
        <v>141.80000000000001</v>
      </c>
      <c r="I986">
        <v>144.9</v>
      </c>
      <c r="J986">
        <v>100</v>
      </c>
      <c r="K986">
        <v>100</v>
      </c>
      <c r="L986" s="1" t="s">
        <v>2425</v>
      </c>
      <c r="M986" t="s">
        <v>941</v>
      </c>
      <c r="N986">
        <v>6</v>
      </c>
    </row>
    <row r="987" spans="1:14" x14ac:dyDescent="0.25">
      <c r="A987" s="3" t="str">
        <f>HYPERLINK("http://www.ncbi.nlm.nih.gov/gene/1508","1508")</f>
        <v>1508</v>
      </c>
      <c r="B987" s="1" t="s">
        <v>2427</v>
      </c>
      <c r="C987" t="s">
        <v>2428</v>
      </c>
      <c r="D987">
        <v>120</v>
      </c>
      <c r="E987">
        <v>122.6</v>
      </c>
      <c r="F987">
        <v>100</v>
      </c>
      <c r="G987">
        <v>100</v>
      </c>
      <c r="H987">
        <v>119.5</v>
      </c>
      <c r="I987">
        <v>122.5</v>
      </c>
      <c r="J987">
        <v>100</v>
      </c>
      <c r="K987">
        <v>100</v>
      </c>
      <c r="L987" s="1" t="s">
        <v>2427</v>
      </c>
      <c r="M987" t="s">
        <v>29</v>
      </c>
      <c r="N987">
        <v>2</v>
      </c>
    </row>
    <row r="988" spans="1:14" x14ac:dyDescent="0.25">
      <c r="A988" s="3" t="str">
        <f>HYPERLINK("http://www.ncbi.nlm.nih.gov/gene/1075","1075")</f>
        <v>1075</v>
      </c>
      <c r="B988" s="1" t="s">
        <v>2429</v>
      </c>
      <c r="C988" t="s">
        <v>2430</v>
      </c>
      <c r="D988">
        <v>135</v>
      </c>
      <c r="E988">
        <v>137.1</v>
      </c>
      <c r="F988">
        <v>100</v>
      </c>
      <c r="G988">
        <v>100</v>
      </c>
      <c r="H988">
        <v>148.30000000000001</v>
      </c>
      <c r="I988">
        <v>151.80000000000001</v>
      </c>
      <c r="J988">
        <v>100</v>
      </c>
      <c r="K988">
        <v>100</v>
      </c>
      <c r="L988" s="1" t="s">
        <v>2429</v>
      </c>
      <c r="M988" t="s">
        <v>2431</v>
      </c>
      <c r="N988">
        <v>6</v>
      </c>
    </row>
    <row r="989" spans="1:14" x14ac:dyDescent="0.25">
      <c r="A989" s="3" t="str">
        <f>HYPERLINK("http://www.ncbi.nlm.nih.gov/gene/1509","1509")</f>
        <v>1509</v>
      </c>
      <c r="B989" s="1" t="s">
        <v>2432</v>
      </c>
      <c r="C989" t="s">
        <v>2433</v>
      </c>
      <c r="D989">
        <v>168.2</v>
      </c>
      <c r="E989">
        <v>174.3</v>
      </c>
      <c r="F989">
        <v>98.4</v>
      </c>
      <c r="G989">
        <v>95</v>
      </c>
      <c r="H989">
        <v>134.1</v>
      </c>
      <c r="I989">
        <v>138.4</v>
      </c>
      <c r="J989">
        <v>100</v>
      </c>
      <c r="K989">
        <v>100</v>
      </c>
      <c r="L989" s="1" t="s">
        <v>2432</v>
      </c>
      <c r="M989" t="s">
        <v>1981</v>
      </c>
      <c r="N989">
        <v>6</v>
      </c>
    </row>
    <row r="990" spans="1:14" x14ac:dyDescent="0.25">
      <c r="A990" s="3" t="str">
        <f>HYPERLINK("http://www.ncbi.nlm.nih.gov/gene/8722","8722")</f>
        <v>8722</v>
      </c>
      <c r="B990" s="1" t="s">
        <v>2434</v>
      </c>
      <c r="C990" t="s">
        <v>2435</v>
      </c>
      <c r="D990">
        <v>113.1</v>
      </c>
      <c r="E990">
        <v>117.3</v>
      </c>
      <c r="F990">
        <v>84</v>
      </c>
      <c r="G990">
        <v>79.3</v>
      </c>
      <c r="H990">
        <v>126.5</v>
      </c>
      <c r="I990">
        <v>129</v>
      </c>
      <c r="J990">
        <v>100</v>
      </c>
      <c r="K990">
        <v>99.9</v>
      </c>
      <c r="L990" s="1" t="s">
        <v>2434</v>
      </c>
      <c r="M990" t="s">
        <v>2040</v>
      </c>
      <c r="N990">
        <v>3</v>
      </c>
    </row>
    <row r="991" spans="1:14" x14ac:dyDescent="0.25">
      <c r="A991" s="3" t="str">
        <f>HYPERLINK("http://www.ncbi.nlm.nih.gov/gene/1512","1512")</f>
        <v>1512</v>
      </c>
      <c r="B991" s="1" t="s">
        <v>2436</v>
      </c>
      <c r="C991" t="s">
        <v>2437</v>
      </c>
      <c r="D991">
        <v>117.4</v>
      </c>
      <c r="E991">
        <v>119.7</v>
      </c>
      <c r="F991">
        <v>100</v>
      </c>
      <c r="G991">
        <v>100</v>
      </c>
      <c r="H991">
        <v>118.1</v>
      </c>
      <c r="I991">
        <v>119.8</v>
      </c>
      <c r="J991">
        <v>100</v>
      </c>
      <c r="K991">
        <v>100</v>
      </c>
      <c r="L991" s="1" t="s">
        <v>2436</v>
      </c>
      <c r="M991" t="s">
        <v>817</v>
      </c>
      <c r="N991">
        <v>2</v>
      </c>
    </row>
    <row r="992" spans="1:14" x14ac:dyDescent="0.25">
      <c r="A992" s="3" t="str">
        <f>HYPERLINK("http://www.ncbi.nlm.nih.gov/gene/1513","1513")</f>
        <v>1513</v>
      </c>
      <c r="B992" s="1" t="s">
        <v>2438</v>
      </c>
      <c r="C992" t="s">
        <v>2439</v>
      </c>
      <c r="D992">
        <v>101.2</v>
      </c>
      <c r="E992">
        <v>105.3</v>
      </c>
      <c r="F992">
        <v>100</v>
      </c>
      <c r="G992">
        <v>99.9</v>
      </c>
      <c r="H992">
        <v>159.5</v>
      </c>
      <c r="I992">
        <v>164.9</v>
      </c>
      <c r="J992">
        <v>100</v>
      </c>
      <c r="K992">
        <v>100</v>
      </c>
      <c r="L992" s="1" t="s">
        <v>2438</v>
      </c>
      <c r="M992" t="s">
        <v>2440</v>
      </c>
      <c r="N992">
        <v>5</v>
      </c>
    </row>
    <row r="993" spans="1:14" x14ac:dyDescent="0.25">
      <c r="A993" s="3" t="str">
        <f>HYPERLINK("http://www.ncbi.nlm.nih.gov/gene/83992","83992")</f>
        <v>83992</v>
      </c>
      <c r="B993" s="1" t="s">
        <v>2441</v>
      </c>
      <c r="C993" t="s">
        <v>2442</v>
      </c>
      <c r="D993">
        <v>125.6</v>
      </c>
      <c r="E993">
        <v>128.5</v>
      </c>
      <c r="F993">
        <v>99.5</v>
      </c>
      <c r="G993">
        <v>97.3</v>
      </c>
      <c r="H993">
        <v>141.6</v>
      </c>
      <c r="I993">
        <v>144.4</v>
      </c>
      <c r="J993">
        <v>100</v>
      </c>
      <c r="K993">
        <v>100</v>
      </c>
      <c r="L993" s="1" t="s">
        <v>2441</v>
      </c>
      <c r="M993" t="s">
        <v>189</v>
      </c>
      <c r="N993">
        <v>2</v>
      </c>
    </row>
    <row r="994" spans="1:14" x14ac:dyDescent="0.25">
      <c r="A994" s="3" t="str">
        <f>HYPERLINK("http://www.ncbi.nlm.nih.gov/gene/348180","348180")</f>
        <v>348180</v>
      </c>
      <c r="B994" s="1" t="s">
        <v>2443</v>
      </c>
      <c r="C994" t="s">
        <v>2444</v>
      </c>
      <c r="D994">
        <v>130.6</v>
      </c>
      <c r="E994">
        <v>134.80000000000001</v>
      </c>
      <c r="F994">
        <v>99.7</v>
      </c>
      <c r="G994">
        <v>97.7</v>
      </c>
      <c r="H994">
        <v>143.1</v>
      </c>
      <c r="I994">
        <v>146</v>
      </c>
      <c r="J994">
        <v>100</v>
      </c>
      <c r="K994">
        <v>100</v>
      </c>
      <c r="L994" s="1" t="s">
        <v>2443</v>
      </c>
      <c r="M994" t="s">
        <v>228</v>
      </c>
      <c r="N994">
        <v>3</v>
      </c>
    </row>
    <row r="995" spans="1:14" x14ac:dyDescent="0.25">
      <c r="A995" s="3" t="str">
        <f>HYPERLINK("http://www.ncbi.nlm.nih.gov/gene/8029","8029")</f>
        <v>8029</v>
      </c>
      <c r="B995" s="1" t="s">
        <v>2445</v>
      </c>
      <c r="C995" t="s">
        <v>2446</v>
      </c>
      <c r="D995">
        <v>124.3</v>
      </c>
      <c r="E995">
        <v>129.69999999999999</v>
      </c>
      <c r="F995">
        <v>99.7</v>
      </c>
      <c r="G995">
        <v>98.3</v>
      </c>
      <c r="H995">
        <v>137.69999999999999</v>
      </c>
      <c r="I995">
        <v>142</v>
      </c>
      <c r="J995">
        <v>100</v>
      </c>
      <c r="K995">
        <v>100</v>
      </c>
      <c r="L995" s="1" t="s">
        <v>2445</v>
      </c>
      <c r="M995" t="s">
        <v>543</v>
      </c>
      <c r="N995">
        <v>5</v>
      </c>
    </row>
    <row r="996" spans="1:14" x14ac:dyDescent="0.25">
      <c r="A996" s="3" t="str">
        <f>HYPERLINK("http://www.ncbi.nlm.nih.gov/gene/8452","8452")</f>
        <v>8452</v>
      </c>
      <c r="B996" s="1" t="s">
        <v>2447</v>
      </c>
      <c r="C996" t="s">
        <v>2448</v>
      </c>
      <c r="D996">
        <v>140.4</v>
      </c>
      <c r="E996">
        <v>146.19999999999999</v>
      </c>
      <c r="F996">
        <v>99.9</v>
      </c>
      <c r="G996">
        <v>98.8</v>
      </c>
      <c r="H996">
        <v>130.69999999999999</v>
      </c>
      <c r="I996">
        <v>135.19999999999999</v>
      </c>
      <c r="J996">
        <v>100</v>
      </c>
      <c r="K996">
        <v>100</v>
      </c>
      <c r="L996" s="1" t="s">
        <v>2447</v>
      </c>
      <c r="M996" t="s">
        <v>200</v>
      </c>
      <c r="N996">
        <v>2</v>
      </c>
    </row>
    <row r="997" spans="1:14" x14ac:dyDescent="0.25">
      <c r="A997" s="3" t="str">
        <f>HYPERLINK("http://www.ncbi.nlm.nih.gov/gene/8450","8450")</f>
        <v>8450</v>
      </c>
      <c r="B997" s="1" t="s">
        <v>2449</v>
      </c>
      <c r="C997" t="s">
        <v>2450</v>
      </c>
      <c r="D997">
        <v>88</v>
      </c>
      <c r="E997">
        <v>92.5</v>
      </c>
      <c r="F997">
        <v>98</v>
      </c>
      <c r="G997">
        <v>90.8</v>
      </c>
      <c r="H997">
        <v>110.9</v>
      </c>
      <c r="I997">
        <v>113.8</v>
      </c>
      <c r="J997">
        <v>99.9</v>
      </c>
      <c r="K997">
        <v>99.2</v>
      </c>
      <c r="L997" s="1" t="s">
        <v>2449</v>
      </c>
      <c r="M997" t="s">
        <v>731</v>
      </c>
      <c r="N997">
        <v>3</v>
      </c>
    </row>
    <row r="998" spans="1:14" x14ac:dyDescent="0.25">
      <c r="A998" s="3" t="str">
        <f>HYPERLINK("http://www.ncbi.nlm.nih.gov/gene/9820","9820")</f>
        <v>9820</v>
      </c>
      <c r="B998" s="1" t="s">
        <v>2451</v>
      </c>
      <c r="C998" t="s">
        <v>2452</v>
      </c>
      <c r="D998">
        <v>138.4</v>
      </c>
      <c r="E998">
        <v>140.4</v>
      </c>
      <c r="F998">
        <v>100</v>
      </c>
      <c r="G998">
        <v>99.3</v>
      </c>
      <c r="H998">
        <v>152.6</v>
      </c>
      <c r="I998">
        <v>155</v>
      </c>
      <c r="J998">
        <v>100</v>
      </c>
      <c r="K998">
        <v>100</v>
      </c>
      <c r="L998" s="1" t="s">
        <v>2451</v>
      </c>
      <c r="M998" t="s">
        <v>1168</v>
      </c>
      <c r="N998">
        <v>3</v>
      </c>
    </row>
    <row r="999" spans="1:14" x14ac:dyDescent="0.25">
      <c r="A999" s="3" t="str">
        <f>HYPERLINK("http://www.ncbi.nlm.nih.gov/gene/1523","1523")</f>
        <v>1523</v>
      </c>
      <c r="B999" s="1" t="s">
        <v>2453</v>
      </c>
      <c r="C999" t="s">
        <v>2454</v>
      </c>
      <c r="D999">
        <v>127.4</v>
      </c>
      <c r="E999">
        <v>130.30000000000001</v>
      </c>
      <c r="F999">
        <v>96.4</v>
      </c>
      <c r="G999">
        <v>94.8</v>
      </c>
      <c r="H999">
        <v>134.69999999999999</v>
      </c>
      <c r="I999">
        <v>136.4</v>
      </c>
      <c r="J999">
        <v>99.3</v>
      </c>
      <c r="K999">
        <v>98.4</v>
      </c>
      <c r="L999" s="1" t="s">
        <v>2453</v>
      </c>
      <c r="M999" t="s">
        <v>189</v>
      </c>
      <c r="N999">
        <v>2</v>
      </c>
    </row>
    <row r="1000" spans="1:14" x14ac:dyDescent="0.25">
      <c r="A1000" s="3" t="str">
        <f>HYPERLINK("http://www.ncbi.nlm.nih.gov/gene/23316","23316")</f>
        <v>23316</v>
      </c>
      <c r="B1000" s="1" t="s">
        <v>2455</v>
      </c>
      <c r="C1000" t="s">
        <v>2456</v>
      </c>
      <c r="D1000">
        <v>139.19999999999999</v>
      </c>
      <c r="E1000">
        <v>133</v>
      </c>
      <c r="F1000">
        <v>99.9</v>
      </c>
      <c r="G1000">
        <v>99.1</v>
      </c>
      <c r="H1000">
        <v>155</v>
      </c>
      <c r="I1000">
        <v>158.69999999999999</v>
      </c>
      <c r="J1000">
        <v>100</v>
      </c>
      <c r="K1000">
        <v>100</v>
      </c>
      <c r="L1000" s="1" t="s">
        <v>2455</v>
      </c>
      <c r="M1000" t="s">
        <v>995</v>
      </c>
      <c r="N1000">
        <v>3</v>
      </c>
    </row>
    <row r="1001" spans="1:14" x14ac:dyDescent="0.25">
      <c r="A1001" s="3" t="str">
        <f>HYPERLINK("http://www.ncbi.nlm.nih.gov/gene/10283","10283")</f>
        <v>10283</v>
      </c>
      <c r="B1001" s="1" t="s">
        <v>2457</v>
      </c>
      <c r="C1001" t="s">
        <v>2458</v>
      </c>
      <c r="D1001">
        <v>101.3</v>
      </c>
      <c r="E1001">
        <v>105.7</v>
      </c>
      <c r="F1001">
        <v>99.3</v>
      </c>
      <c r="G1001">
        <v>96.5</v>
      </c>
      <c r="H1001">
        <v>111.6</v>
      </c>
      <c r="I1001">
        <v>114.8</v>
      </c>
      <c r="J1001">
        <v>100</v>
      </c>
      <c r="K1001">
        <v>100</v>
      </c>
      <c r="L1001" s="1" t="s">
        <v>2457</v>
      </c>
      <c r="M1001" t="s">
        <v>1642</v>
      </c>
      <c r="N1001">
        <v>4</v>
      </c>
    </row>
    <row r="1002" spans="1:14" x14ac:dyDescent="0.25">
      <c r="A1002" s="3" t="str">
        <f>HYPERLINK("http://www.ncbi.nlm.nih.gov/gene/55280","55280")</f>
        <v>55280</v>
      </c>
      <c r="B1002" s="1" t="s">
        <v>2459</v>
      </c>
      <c r="C1002" t="s">
        <v>2460</v>
      </c>
      <c r="D1002">
        <v>121.8</v>
      </c>
      <c r="E1002">
        <v>126.8</v>
      </c>
      <c r="F1002">
        <v>100</v>
      </c>
      <c r="G1002">
        <v>99.8</v>
      </c>
      <c r="H1002">
        <v>127.8</v>
      </c>
      <c r="I1002">
        <v>131.4</v>
      </c>
      <c r="J1002">
        <v>100</v>
      </c>
      <c r="K1002">
        <v>100</v>
      </c>
      <c r="L1002" s="1" t="s">
        <v>2459</v>
      </c>
      <c r="M1002" t="s">
        <v>288</v>
      </c>
      <c r="N1002">
        <v>4</v>
      </c>
    </row>
    <row r="1003" spans="1:14" x14ac:dyDescent="0.25">
      <c r="A1003" s="3" t="str">
        <f>HYPERLINK("http://www.ncbi.nlm.nih.gov/gene/3627","3627")</f>
        <v>3627</v>
      </c>
      <c r="B1003" s="1" t="s">
        <v>2461</v>
      </c>
      <c r="C1003" t="s">
        <v>2462</v>
      </c>
      <c r="D1003">
        <v>206.2</v>
      </c>
      <c r="E1003">
        <v>209.6</v>
      </c>
      <c r="F1003">
        <v>100</v>
      </c>
      <c r="G1003">
        <v>100</v>
      </c>
      <c r="H1003">
        <v>138</v>
      </c>
      <c r="I1003">
        <v>140.30000000000001</v>
      </c>
      <c r="J1003">
        <v>100</v>
      </c>
      <c r="K1003">
        <v>100</v>
      </c>
      <c r="L1003" s="1" t="s">
        <v>2461</v>
      </c>
      <c r="M1003" t="s">
        <v>661</v>
      </c>
      <c r="N1003">
        <v>2</v>
      </c>
    </row>
    <row r="1004" spans="1:14" x14ac:dyDescent="0.25">
      <c r="A1004" s="3" t="str">
        <f>HYPERLINK("http://www.ncbi.nlm.nih.gov/gene/10563","10563")</f>
        <v>10563</v>
      </c>
      <c r="B1004" s="1" t="s">
        <v>2463</v>
      </c>
      <c r="C1004" t="s">
        <v>2464</v>
      </c>
      <c r="D1004">
        <v>239.1</v>
      </c>
      <c r="E1004">
        <v>241.1</v>
      </c>
      <c r="F1004">
        <v>100</v>
      </c>
      <c r="G1004">
        <v>100</v>
      </c>
      <c r="H1004">
        <v>125.8</v>
      </c>
      <c r="I1004">
        <v>128.19999999999999</v>
      </c>
      <c r="J1004">
        <v>100</v>
      </c>
      <c r="K1004">
        <v>100</v>
      </c>
      <c r="L1004" s="1" t="s">
        <v>2463</v>
      </c>
      <c r="M1004" t="s">
        <v>661</v>
      </c>
      <c r="N1004">
        <v>2</v>
      </c>
    </row>
    <row r="1005" spans="1:14" x14ac:dyDescent="0.25">
      <c r="A1005" s="3" t="str">
        <f>HYPERLINK("http://www.ncbi.nlm.nih.gov/gene/2920","2920")</f>
        <v>2920</v>
      </c>
      <c r="B1005" s="1" t="s">
        <v>2465</v>
      </c>
      <c r="C1005" t="s">
        <v>2466</v>
      </c>
      <c r="D1005">
        <v>82.1</v>
      </c>
      <c r="E1005">
        <v>82.1</v>
      </c>
      <c r="F1005">
        <v>100</v>
      </c>
      <c r="G1005">
        <v>100</v>
      </c>
      <c r="H1005">
        <v>160.30000000000001</v>
      </c>
      <c r="I1005">
        <v>163.69999999999999</v>
      </c>
      <c r="J1005">
        <v>100</v>
      </c>
      <c r="K1005">
        <v>100</v>
      </c>
      <c r="L1005" s="1" t="s">
        <v>2465</v>
      </c>
      <c r="M1005" t="s">
        <v>661</v>
      </c>
      <c r="N1005">
        <v>2</v>
      </c>
    </row>
    <row r="1006" spans="1:14" x14ac:dyDescent="0.25">
      <c r="A1006" s="3" t="str">
        <f>HYPERLINK("http://www.ncbi.nlm.nih.gov/gene/7852","7852")</f>
        <v>7852</v>
      </c>
      <c r="B1006" s="1" t="s">
        <v>2467</v>
      </c>
      <c r="C1006" t="s">
        <v>2468</v>
      </c>
      <c r="D1006">
        <v>155.30000000000001</v>
      </c>
      <c r="E1006">
        <v>151.1</v>
      </c>
      <c r="F1006">
        <v>100</v>
      </c>
      <c r="G1006">
        <v>100</v>
      </c>
      <c r="H1006">
        <v>137.9</v>
      </c>
      <c r="I1006">
        <v>138.9</v>
      </c>
      <c r="J1006">
        <v>100</v>
      </c>
      <c r="K1006">
        <v>100</v>
      </c>
      <c r="L1006" s="1" t="s">
        <v>2467</v>
      </c>
      <c r="M1006" t="s">
        <v>2469</v>
      </c>
      <c r="N1006">
        <v>4</v>
      </c>
    </row>
    <row r="1007" spans="1:14" x14ac:dyDescent="0.25">
      <c r="A1007" s="3" t="str">
        <f>HYPERLINK("http://www.ncbi.nlm.nih.gov/gene/1534","1534")</f>
        <v>1534</v>
      </c>
      <c r="B1007" s="1" t="s">
        <v>2470</v>
      </c>
      <c r="C1007" t="s">
        <v>2471</v>
      </c>
      <c r="D1007">
        <v>150.9</v>
      </c>
      <c r="E1007">
        <v>157.4</v>
      </c>
      <c r="F1007">
        <v>92.8</v>
      </c>
      <c r="G1007">
        <v>92.6</v>
      </c>
      <c r="H1007">
        <v>157.5</v>
      </c>
      <c r="I1007">
        <v>162.30000000000001</v>
      </c>
      <c r="J1007">
        <v>100</v>
      </c>
      <c r="K1007">
        <v>99.9</v>
      </c>
      <c r="L1007" s="1" t="s">
        <v>2470</v>
      </c>
      <c r="M1007" t="s">
        <v>93</v>
      </c>
      <c r="N1007">
        <v>2</v>
      </c>
    </row>
    <row r="1008" spans="1:14" x14ac:dyDescent="0.25">
      <c r="A1008" s="3" t="str">
        <f>HYPERLINK("http://www.ncbi.nlm.nih.gov/gene/1528","1528")</f>
        <v>1528</v>
      </c>
      <c r="B1008" s="1" t="s">
        <v>2472</v>
      </c>
      <c r="C1008" t="s">
        <v>2473</v>
      </c>
      <c r="D1008">
        <v>152.9</v>
      </c>
      <c r="E1008">
        <v>157.5</v>
      </c>
      <c r="F1008">
        <v>100</v>
      </c>
      <c r="G1008">
        <v>100</v>
      </c>
      <c r="H1008">
        <v>123.1</v>
      </c>
      <c r="I1008">
        <v>125.6</v>
      </c>
      <c r="J1008">
        <v>100</v>
      </c>
      <c r="K1008">
        <v>100</v>
      </c>
      <c r="L1008" s="1" t="s">
        <v>2472</v>
      </c>
      <c r="M1008" t="s">
        <v>1472</v>
      </c>
      <c r="N1008">
        <v>3</v>
      </c>
    </row>
    <row r="1009" spans="1:14" x14ac:dyDescent="0.25">
      <c r="A1009" s="3" t="str">
        <f>HYPERLINK("http://www.ncbi.nlm.nih.gov/gene/1727","1727")</f>
        <v>1727</v>
      </c>
      <c r="B1009" s="1" t="s">
        <v>2474</v>
      </c>
      <c r="C1009" t="s">
        <v>2475</v>
      </c>
      <c r="D1009">
        <v>158.9</v>
      </c>
      <c r="E1009">
        <v>165.7</v>
      </c>
      <c r="F1009">
        <v>98.4</v>
      </c>
      <c r="G1009">
        <v>98</v>
      </c>
      <c r="H1009">
        <v>117.8</v>
      </c>
      <c r="I1009">
        <v>120.6</v>
      </c>
      <c r="J1009">
        <v>99.8</v>
      </c>
      <c r="K1009">
        <v>98.9</v>
      </c>
      <c r="L1009" s="1" t="s">
        <v>2474</v>
      </c>
      <c r="M1009" t="s">
        <v>38</v>
      </c>
      <c r="N1009">
        <v>4</v>
      </c>
    </row>
    <row r="1010" spans="1:14" x14ac:dyDescent="0.25">
      <c r="A1010" s="3" t="str">
        <f>HYPERLINK("http://www.ncbi.nlm.nih.gov/gene/1535","1535")</f>
        <v>1535</v>
      </c>
      <c r="B1010" s="1" t="s">
        <v>2476</v>
      </c>
      <c r="C1010" t="s">
        <v>2477</v>
      </c>
      <c r="D1010">
        <v>109.6</v>
      </c>
      <c r="E1010">
        <v>115.6</v>
      </c>
      <c r="F1010">
        <v>95</v>
      </c>
      <c r="G1010">
        <v>82.4</v>
      </c>
      <c r="H1010">
        <v>131.19999999999999</v>
      </c>
      <c r="I1010">
        <v>133.30000000000001</v>
      </c>
      <c r="J1010">
        <v>100</v>
      </c>
      <c r="K1010">
        <v>100</v>
      </c>
      <c r="L1010" s="1" t="s">
        <v>2476</v>
      </c>
      <c r="M1010" t="s">
        <v>1097</v>
      </c>
      <c r="N1010">
        <v>3</v>
      </c>
    </row>
    <row r="1011" spans="1:14" x14ac:dyDescent="0.25">
      <c r="A1011" s="3" t="str">
        <f>HYPERLINK("http://www.ncbi.nlm.nih.gov/gene/1536","1536")</f>
        <v>1536</v>
      </c>
      <c r="B1011" s="1" t="s">
        <v>2478</v>
      </c>
      <c r="C1011" t="s">
        <v>2479</v>
      </c>
      <c r="D1011">
        <v>117.6</v>
      </c>
      <c r="E1011">
        <v>121.9</v>
      </c>
      <c r="F1011">
        <v>99.9</v>
      </c>
      <c r="G1011">
        <v>99.3</v>
      </c>
      <c r="H1011">
        <v>130.30000000000001</v>
      </c>
      <c r="I1011">
        <v>134</v>
      </c>
      <c r="J1011">
        <v>100</v>
      </c>
      <c r="K1011">
        <v>100</v>
      </c>
      <c r="L1011" s="1" t="s">
        <v>2478</v>
      </c>
      <c r="M1011" t="s">
        <v>2480</v>
      </c>
      <c r="N1011">
        <v>2</v>
      </c>
    </row>
    <row r="1012" spans="1:14" x14ac:dyDescent="0.25">
      <c r="A1012" s="3" t="str">
        <f>HYPERLINK("http://www.ncbi.nlm.nih.gov/gene/79415","79415")</f>
        <v>79415</v>
      </c>
      <c r="B1012" s="1" t="s">
        <v>2481</v>
      </c>
      <c r="C1012" t="s">
        <v>2482</v>
      </c>
      <c r="D1012">
        <v>135.4</v>
      </c>
      <c r="E1012">
        <v>142.30000000000001</v>
      </c>
      <c r="F1012">
        <v>99.6</v>
      </c>
      <c r="G1012">
        <v>97</v>
      </c>
      <c r="H1012">
        <v>173.4</v>
      </c>
      <c r="I1012">
        <v>177.8</v>
      </c>
      <c r="J1012">
        <v>100</v>
      </c>
      <c r="K1012">
        <v>100</v>
      </c>
      <c r="L1012" s="1" t="s">
        <v>2481</v>
      </c>
      <c r="M1012" t="s">
        <v>502</v>
      </c>
      <c r="N1012">
        <v>2</v>
      </c>
    </row>
    <row r="1013" spans="1:14" x14ac:dyDescent="0.25">
      <c r="A1013" s="3" t="str">
        <f>HYPERLINK("http://www.ncbi.nlm.nih.gov/gene/79901","79901")</f>
        <v>79901</v>
      </c>
      <c r="B1013" s="1" t="s">
        <v>2483</v>
      </c>
      <c r="C1013" t="s">
        <v>2484</v>
      </c>
      <c r="D1013">
        <v>143.69999999999999</v>
      </c>
      <c r="E1013">
        <v>154.1</v>
      </c>
      <c r="F1013">
        <v>100</v>
      </c>
      <c r="G1013">
        <v>99.9</v>
      </c>
      <c r="H1013">
        <v>151.80000000000001</v>
      </c>
      <c r="I1013">
        <v>158.30000000000001</v>
      </c>
      <c r="J1013">
        <v>100</v>
      </c>
      <c r="K1013">
        <v>100</v>
      </c>
      <c r="L1013" s="1" t="s">
        <v>2483</v>
      </c>
      <c r="M1013" t="s">
        <v>62</v>
      </c>
      <c r="N1013">
        <v>2</v>
      </c>
    </row>
    <row r="1014" spans="1:14" x14ac:dyDescent="0.25">
      <c r="A1014" s="3" t="str">
        <f>HYPERLINK("http://www.ncbi.nlm.nih.gov/gene/1537","1537")</f>
        <v>1537</v>
      </c>
      <c r="B1014" s="1" t="s">
        <v>2485</v>
      </c>
      <c r="C1014" t="s">
        <v>2486</v>
      </c>
      <c r="D1014">
        <v>161.19999999999999</v>
      </c>
      <c r="E1014">
        <v>163.19999999999999</v>
      </c>
      <c r="F1014">
        <v>97.5</v>
      </c>
      <c r="G1014">
        <v>89.2</v>
      </c>
      <c r="H1014">
        <v>141.80000000000001</v>
      </c>
      <c r="I1014">
        <v>145.1</v>
      </c>
      <c r="J1014">
        <v>99.9</v>
      </c>
      <c r="K1014">
        <v>98.7</v>
      </c>
      <c r="L1014" s="1" t="s">
        <v>2485</v>
      </c>
      <c r="M1014" t="s">
        <v>766</v>
      </c>
      <c r="N1014">
        <v>3</v>
      </c>
    </row>
    <row r="1015" spans="1:14" x14ac:dyDescent="0.25">
      <c r="A1015" s="3" t="str">
        <f>HYPERLINK("http://www.ncbi.nlm.nih.gov/gene/54205","54205")</f>
        <v>54205</v>
      </c>
      <c r="B1015" s="1" t="s">
        <v>2487</v>
      </c>
      <c r="C1015" t="s">
        <v>2488</v>
      </c>
      <c r="D1015">
        <v>83.7</v>
      </c>
      <c r="E1015">
        <v>78.599999999999994</v>
      </c>
      <c r="F1015">
        <v>99.1</v>
      </c>
      <c r="G1015">
        <v>94.9</v>
      </c>
      <c r="H1015">
        <v>156.80000000000001</v>
      </c>
      <c r="I1015">
        <v>163.4</v>
      </c>
      <c r="J1015">
        <v>100</v>
      </c>
      <c r="K1015">
        <v>100</v>
      </c>
      <c r="L1015" s="1" t="s">
        <v>2487</v>
      </c>
      <c r="M1015" t="s">
        <v>2489</v>
      </c>
      <c r="N1015">
        <v>3</v>
      </c>
    </row>
    <row r="1016" spans="1:14" x14ac:dyDescent="0.25">
      <c r="A1016" s="3" t="str">
        <f>HYPERLINK("http://www.ncbi.nlm.nih.gov/gene/26999","26999")</f>
        <v>26999</v>
      </c>
      <c r="B1016" s="1" t="s">
        <v>2490</v>
      </c>
      <c r="C1016" t="s">
        <v>2491</v>
      </c>
      <c r="D1016">
        <v>132.19999999999999</v>
      </c>
      <c r="E1016">
        <v>137.69999999999999</v>
      </c>
      <c r="F1016">
        <v>100</v>
      </c>
      <c r="G1016">
        <v>99.4</v>
      </c>
      <c r="H1016">
        <v>131.6</v>
      </c>
      <c r="I1016">
        <v>135.4</v>
      </c>
      <c r="J1016">
        <v>100</v>
      </c>
      <c r="K1016">
        <v>100</v>
      </c>
      <c r="L1016" s="1" t="s">
        <v>2490</v>
      </c>
      <c r="M1016" t="s">
        <v>189</v>
      </c>
      <c r="N1016">
        <v>2</v>
      </c>
    </row>
    <row r="1017" spans="1:14" x14ac:dyDescent="0.25">
      <c r="A1017" s="3" t="str">
        <f>HYPERLINK("http://www.ncbi.nlm.nih.gov/gene/1540","1540")</f>
        <v>1540</v>
      </c>
      <c r="B1017" s="1" t="s">
        <v>2492</v>
      </c>
      <c r="C1017" t="s">
        <v>2493</v>
      </c>
      <c r="D1017">
        <v>123.4</v>
      </c>
      <c r="E1017">
        <v>127.1</v>
      </c>
      <c r="F1017">
        <v>99.8</v>
      </c>
      <c r="G1017">
        <v>98</v>
      </c>
      <c r="H1017">
        <v>128</v>
      </c>
      <c r="I1017">
        <v>131.9</v>
      </c>
      <c r="J1017">
        <v>100</v>
      </c>
      <c r="K1017">
        <v>100</v>
      </c>
      <c r="L1017" s="1" t="s">
        <v>2492</v>
      </c>
      <c r="M1017" t="s">
        <v>653</v>
      </c>
      <c r="N1017">
        <v>3</v>
      </c>
    </row>
    <row r="1018" spans="1:14" x14ac:dyDescent="0.25">
      <c r="A1018" s="3" t="str">
        <f>HYPERLINK("http://www.ncbi.nlm.nih.gov/gene/1583","1583")</f>
        <v>1583</v>
      </c>
      <c r="B1018" s="1" t="s">
        <v>2494</v>
      </c>
      <c r="C1018" t="s">
        <v>2495</v>
      </c>
      <c r="D1018">
        <v>124.6</v>
      </c>
      <c r="E1018">
        <v>129.80000000000001</v>
      </c>
      <c r="F1018">
        <v>99.3</v>
      </c>
      <c r="G1018">
        <v>96.1</v>
      </c>
      <c r="H1018">
        <v>148.69999999999999</v>
      </c>
      <c r="I1018">
        <v>154.19999999999999</v>
      </c>
      <c r="J1018">
        <v>100</v>
      </c>
      <c r="K1018">
        <v>100</v>
      </c>
      <c r="L1018" s="1" t="s">
        <v>2494</v>
      </c>
      <c r="M1018" t="s">
        <v>2496</v>
      </c>
      <c r="N1018">
        <v>4</v>
      </c>
    </row>
    <row r="1019" spans="1:14" x14ac:dyDescent="0.25">
      <c r="A1019" s="3" t="str">
        <f>HYPERLINK("http://www.ncbi.nlm.nih.gov/gene/1584","1584")</f>
        <v>1584</v>
      </c>
      <c r="B1019" s="1" t="s">
        <v>2497</v>
      </c>
      <c r="C1019" t="s">
        <v>2498</v>
      </c>
      <c r="D1019">
        <v>139.80000000000001</v>
      </c>
      <c r="E1019">
        <v>146.19999999999999</v>
      </c>
      <c r="F1019">
        <v>100</v>
      </c>
      <c r="G1019">
        <v>100</v>
      </c>
      <c r="H1019">
        <v>186.4</v>
      </c>
      <c r="I1019">
        <v>192.3</v>
      </c>
      <c r="J1019">
        <v>100</v>
      </c>
      <c r="K1019">
        <v>100</v>
      </c>
      <c r="L1019" s="1" t="s">
        <v>2497</v>
      </c>
      <c r="M1019" t="s">
        <v>2499</v>
      </c>
      <c r="N1019">
        <v>4</v>
      </c>
    </row>
    <row r="1020" spans="1:14" x14ac:dyDescent="0.25">
      <c r="A1020" s="3" t="str">
        <f>HYPERLINK("http://www.ncbi.nlm.nih.gov/gene/1585","1585")</f>
        <v>1585</v>
      </c>
      <c r="B1020" s="1" t="s">
        <v>2500</v>
      </c>
      <c r="C1020" t="s">
        <v>2501</v>
      </c>
      <c r="D1020">
        <v>132.69999999999999</v>
      </c>
      <c r="E1020">
        <v>138.4</v>
      </c>
      <c r="F1020">
        <v>100</v>
      </c>
      <c r="G1020">
        <v>100</v>
      </c>
      <c r="H1020">
        <v>188.5</v>
      </c>
      <c r="I1020">
        <v>194.8</v>
      </c>
      <c r="J1020">
        <v>100</v>
      </c>
      <c r="K1020">
        <v>100</v>
      </c>
      <c r="L1020" s="1" t="s">
        <v>2500</v>
      </c>
      <c r="M1020" t="s">
        <v>2502</v>
      </c>
      <c r="N1020">
        <v>4</v>
      </c>
    </row>
    <row r="1021" spans="1:14" x14ac:dyDescent="0.25">
      <c r="A1021" s="3" t="str">
        <f>HYPERLINK("http://www.ncbi.nlm.nih.gov/gene/1586","1586")</f>
        <v>1586</v>
      </c>
      <c r="B1021" s="1" t="s">
        <v>2503</v>
      </c>
      <c r="C1021" t="s">
        <v>2504</v>
      </c>
      <c r="D1021">
        <v>113.7</v>
      </c>
      <c r="E1021">
        <v>120.3</v>
      </c>
      <c r="F1021">
        <v>100</v>
      </c>
      <c r="G1021">
        <v>99.5</v>
      </c>
      <c r="H1021">
        <v>125.6</v>
      </c>
      <c r="I1021">
        <v>129.5</v>
      </c>
      <c r="J1021">
        <v>100</v>
      </c>
      <c r="K1021">
        <v>100</v>
      </c>
      <c r="L1021" s="1" t="s">
        <v>2503</v>
      </c>
      <c r="M1021" t="s">
        <v>2502</v>
      </c>
      <c r="N1021">
        <v>4</v>
      </c>
    </row>
    <row r="1022" spans="1:14" x14ac:dyDescent="0.25">
      <c r="A1022" s="3" t="str">
        <f>HYPERLINK("http://www.ncbi.nlm.nih.gov/gene/1588","1588")</f>
        <v>1588</v>
      </c>
      <c r="B1022" s="1" t="s">
        <v>2505</v>
      </c>
      <c r="C1022" t="s">
        <v>2506</v>
      </c>
      <c r="D1022">
        <v>154.4</v>
      </c>
      <c r="E1022">
        <v>161.80000000000001</v>
      </c>
      <c r="F1022">
        <v>98.8</v>
      </c>
      <c r="G1022">
        <v>96.8</v>
      </c>
      <c r="H1022">
        <v>143.4</v>
      </c>
      <c r="I1022">
        <v>148.4</v>
      </c>
      <c r="J1022">
        <v>100</v>
      </c>
      <c r="K1022">
        <v>100</v>
      </c>
      <c r="L1022" s="1" t="s">
        <v>2505</v>
      </c>
      <c r="M1022" t="s">
        <v>2507</v>
      </c>
      <c r="N1022">
        <v>4</v>
      </c>
    </row>
    <row r="1023" spans="1:14" x14ac:dyDescent="0.25">
      <c r="A1023" s="3" t="str">
        <f>HYPERLINK("http://www.ncbi.nlm.nih.gov/gene/1545","1545")</f>
        <v>1545</v>
      </c>
      <c r="B1023" s="1" t="s">
        <v>2508</v>
      </c>
      <c r="C1023" t="s">
        <v>2509</v>
      </c>
      <c r="D1023">
        <v>111.6</v>
      </c>
      <c r="E1023">
        <v>97.2</v>
      </c>
      <c r="F1023">
        <v>100</v>
      </c>
      <c r="G1023">
        <v>100</v>
      </c>
      <c r="H1023">
        <v>142.6</v>
      </c>
      <c r="I1023">
        <v>140.80000000000001</v>
      </c>
      <c r="J1023">
        <v>100</v>
      </c>
      <c r="K1023">
        <v>100</v>
      </c>
      <c r="L1023" s="1" t="s">
        <v>2508</v>
      </c>
      <c r="M1023" t="s">
        <v>436</v>
      </c>
      <c r="N1023">
        <v>4</v>
      </c>
    </row>
    <row r="1024" spans="1:14" x14ac:dyDescent="0.25">
      <c r="A1024" s="3" t="str">
        <f>HYPERLINK("http://www.ncbi.nlm.nih.gov/gene/1589","1589")</f>
        <v>1589</v>
      </c>
      <c r="B1024" s="1" t="s">
        <v>2510</v>
      </c>
      <c r="C1024" t="s">
        <v>2511</v>
      </c>
      <c r="D1024">
        <v>100.3</v>
      </c>
      <c r="E1024">
        <v>101</v>
      </c>
      <c r="F1024">
        <v>97.8</v>
      </c>
      <c r="G1024">
        <v>88.4</v>
      </c>
      <c r="H1024">
        <v>260.7</v>
      </c>
      <c r="I1024">
        <v>268.3</v>
      </c>
      <c r="J1024">
        <v>100</v>
      </c>
      <c r="K1024">
        <v>100</v>
      </c>
      <c r="L1024" s="1" t="s">
        <v>2510</v>
      </c>
      <c r="M1024" t="s">
        <v>2502</v>
      </c>
      <c r="N1024">
        <v>4</v>
      </c>
    </row>
    <row r="1025" spans="1:14" x14ac:dyDescent="0.25">
      <c r="A1025" s="3" t="str">
        <f>HYPERLINK("http://www.ncbi.nlm.nih.gov/gene/1591","1591")</f>
        <v>1591</v>
      </c>
      <c r="B1025" s="1" t="s">
        <v>2512</v>
      </c>
      <c r="C1025" t="s">
        <v>2513</v>
      </c>
      <c r="D1025">
        <v>199</v>
      </c>
      <c r="E1025">
        <v>203.6</v>
      </c>
      <c r="F1025">
        <v>100</v>
      </c>
      <c r="G1025">
        <v>99.9</v>
      </c>
      <c r="H1025">
        <v>143.4</v>
      </c>
      <c r="I1025">
        <v>147.4</v>
      </c>
      <c r="J1025">
        <v>100</v>
      </c>
      <c r="K1025">
        <v>100</v>
      </c>
      <c r="L1025" s="1" t="s">
        <v>2512</v>
      </c>
      <c r="M1025" t="s">
        <v>357</v>
      </c>
      <c r="N1025">
        <v>3</v>
      </c>
    </row>
    <row r="1026" spans="1:14" x14ac:dyDescent="0.25">
      <c r="A1026" s="3" t="str">
        <f>HYPERLINK("http://www.ncbi.nlm.nih.gov/gene/56603","56603")</f>
        <v>56603</v>
      </c>
      <c r="B1026" s="1" t="s">
        <v>2514</v>
      </c>
      <c r="C1026" t="s">
        <v>2515</v>
      </c>
      <c r="D1026">
        <v>145.9</v>
      </c>
      <c r="E1026">
        <v>148.9</v>
      </c>
      <c r="F1026">
        <v>100</v>
      </c>
      <c r="G1026">
        <v>99.9</v>
      </c>
      <c r="H1026">
        <v>159.69999999999999</v>
      </c>
      <c r="I1026">
        <v>166</v>
      </c>
      <c r="J1026">
        <v>100</v>
      </c>
      <c r="K1026">
        <v>100</v>
      </c>
      <c r="L1026" s="1" t="s">
        <v>2514</v>
      </c>
      <c r="M1026" t="s">
        <v>2516</v>
      </c>
      <c r="N1026">
        <v>4</v>
      </c>
    </row>
    <row r="1027" spans="1:14" x14ac:dyDescent="0.25">
      <c r="A1027" s="3" t="str">
        <f>HYPERLINK("http://www.ncbi.nlm.nih.gov/gene/340665","340665")</f>
        <v>340665</v>
      </c>
      <c r="B1027" s="1" t="s">
        <v>2517</v>
      </c>
      <c r="C1027" t="s">
        <v>2518</v>
      </c>
      <c r="D1027">
        <v>83.4</v>
      </c>
      <c r="E1027">
        <v>85.8</v>
      </c>
      <c r="F1027">
        <v>99.7</v>
      </c>
      <c r="G1027">
        <v>97.1</v>
      </c>
      <c r="H1027">
        <v>121.7</v>
      </c>
      <c r="I1027">
        <v>124.6</v>
      </c>
      <c r="J1027">
        <v>100</v>
      </c>
      <c r="K1027">
        <v>99.8</v>
      </c>
      <c r="L1027" s="1" t="s">
        <v>2517</v>
      </c>
      <c r="M1027" t="s">
        <v>246</v>
      </c>
      <c r="N1027">
        <v>3</v>
      </c>
    </row>
    <row r="1028" spans="1:14" x14ac:dyDescent="0.25">
      <c r="A1028" s="3" t="str">
        <f>HYPERLINK("http://www.ncbi.nlm.nih.gov/gene/1593","1593")</f>
        <v>1593</v>
      </c>
      <c r="B1028" s="1" t="s">
        <v>2519</v>
      </c>
      <c r="C1028" t="s">
        <v>2520</v>
      </c>
      <c r="D1028">
        <v>172.7</v>
      </c>
      <c r="E1028">
        <v>180.7</v>
      </c>
      <c r="F1028">
        <v>98.9</v>
      </c>
      <c r="G1028">
        <v>96.7</v>
      </c>
      <c r="H1028">
        <v>133.4</v>
      </c>
      <c r="I1028">
        <v>137.69999999999999</v>
      </c>
      <c r="J1028">
        <v>100</v>
      </c>
      <c r="K1028">
        <v>100</v>
      </c>
      <c r="L1028" s="1" t="s">
        <v>2519</v>
      </c>
      <c r="M1028" t="s">
        <v>2521</v>
      </c>
      <c r="N1028">
        <v>7</v>
      </c>
    </row>
    <row r="1029" spans="1:14" x14ac:dyDescent="0.25">
      <c r="A1029" s="3" t="str">
        <f>HYPERLINK("http://www.ncbi.nlm.nih.gov/gene/1594","1594")</f>
        <v>1594</v>
      </c>
      <c r="B1029" s="1" t="s">
        <v>2522</v>
      </c>
      <c r="C1029" t="s">
        <v>2523</v>
      </c>
      <c r="D1029">
        <v>135.30000000000001</v>
      </c>
      <c r="E1029">
        <v>133.69999999999999</v>
      </c>
      <c r="F1029">
        <v>99.9</v>
      </c>
      <c r="G1029">
        <v>99.3</v>
      </c>
      <c r="H1029">
        <v>142.4</v>
      </c>
      <c r="I1029">
        <v>146.1</v>
      </c>
      <c r="J1029">
        <v>100</v>
      </c>
      <c r="K1029">
        <v>100</v>
      </c>
      <c r="L1029" s="1" t="s">
        <v>2522</v>
      </c>
      <c r="M1029" t="s">
        <v>351</v>
      </c>
      <c r="N1029">
        <v>4</v>
      </c>
    </row>
    <row r="1030" spans="1:14" x14ac:dyDescent="0.25">
      <c r="A1030" s="3" t="str">
        <f>HYPERLINK("http://www.ncbi.nlm.nih.gov/gene/1548","1548")</f>
        <v>1548</v>
      </c>
      <c r="B1030" s="1" t="s">
        <v>2524</v>
      </c>
      <c r="C1030" t="s">
        <v>2525</v>
      </c>
      <c r="D1030">
        <v>142</v>
      </c>
      <c r="E1030">
        <v>147.9</v>
      </c>
      <c r="F1030">
        <v>100</v>
      </c>
      <c r="G1030">
        <v>99.9</v>
      </c>
      <c r="H1030">
        <v>211.7</v>
      </c>
      <c r="I1030">
        <v>218.4</v>
      </c>
      <c r="J1030">
        <v>100</v>
      </c>
      <c r="K1030">
        <v>100</v>
      </c>
      <c r="L1030" s="1" t="s">
        <v>2524</v>
      </c>
      <c r="M1030" t="s">
        <v>285</v>
      </c>
      <c r="N1030">
        <v>1</v>
      </c>
    </row>
    <row r="1031" spans="1:14" x14ac:dyDescent="0.25">
      <c r="A1031" s="3" t="str">
        <f>HYPERLINK("http://www.ncbi.nlm.nih.gov/gene/1555","1555")</f>
        <v>1555</v>
      </c>
      <c r="B1031" s="1" t="s">
        <v>2526</v>
      </c>
      <c r="C1031" t="s">
        <v>2527</v>
      </c>
      <c r="D1031">
        <v>119.2</v>
      </c>
      <c r="E1031">
        <v>124.2</v>
      </c>
      <c r="F1031">
        <v>99.9</v>
      </c>
      <c r="G1031">
        <v>98.2</v>
      </c>
      <c r="H1031">
        <v>150.30000000000001</v>
      </c>
      <c r="I1031">
        <v>157</v>
      </c>
      <c r="J1031">
        <v>100</v>
      </c>
      <c r="K1031">
        <v>100</v>
      </c>
      <c r="L1031" s="1" t="s">
        <v>2526</v>
      </c>
      <c r="M1031" t="s">
        <v>22</v>
      </c>
      <c r="N1031">
        <v>1</v>
      </c>
    </row>
    <row r="1032" spans="1:14" x14ac:dyDescent="0.25">
      <c r="A1032" s="3" t="str">
        <f>HYPERLINK("http://www.ncbi.nlm.nih.gov/gene/1557","1557")</f>
        <v>1557</v>
      </c>
      <c r="B1032" s="1" t="s">
        <v>2528</v>
      </c>
      <c r="C1032" t="s">
        <v>2529</v>
      </c>
      <c r="D1032">
        <v>175.5</v>
      </c>
      <c r="E1032">
        <v>182.2</v>
      </c>
      <c r="F1032">
        <v>100</v>
      </c>
      <c r="G1032">
        <v>98.9</v>
      </c>
      <c r="H1032">
        <v>175.8</v>
      </c>
      <c r="I1032">
        <v>183</v>
      </c>
      <c r="J1032">
        <v>100</v>
      </c>
      <c r="K1032">
        <v>100</v>
      </c>
      <c r="L1032" s="1" t="s">
        <v>2528</v>
      </c>
      <c r="M1032" t="s">
        <v>59</v>
      </c>
      <c r="N1032">
        <v>1</v>
      </c>
    </row>
    <row r="1033" spans="1:14" x14ac:dyDescent="0.25">
      <c r="A1033" s="3" t="str">
        <f>HYPERLINK("http://www.ncbi.nlm.nih.gov/gene/1558","1558")</f>
        <v>1558</v>
      </c>
      <c r="B1033" s="1" t="s">
        <v>2530</v>
      </c>
      <c r="C1033" t="s">
        <v>2531</v>
      </c>
      <c r="D1033">
        <v>104.5</v>
      </c>
      <c r="E1033">
        <v>106.8</v>
      </c>
      <c r="F1033">
        <v>99.9</v>
      </c>
      <c r="G1033">
        <v>98.6</v>
      </c>
      <c r="H1033">
        <v>157.69999999999999</v>
      </c>
      <c r="I1033">
        <v>162.30000000000001</v>
      </c>
      <c r="J1033">
        <v>100</v>
      </c>
      <c r="K1033">
        <v>100</v>
      </c>
      <c r="L1033" s="1" t="s">
        <v>2530</v>
      </c>
      <c r="M1033" t="s">
        <v>53</v>
      </c>
      <c r="N1033">
        <v>2</v>
      </c>
    </row>
    <row r="1034" spans="1:14" x14ac:dyDescent="0.25">
      <c r="A1034" s="3" t="str">
        <f>HYPERLINK("http://www.ncbi.nlm.nih.gov/gene/1559","1559")</f>
        <v>1559</v>
      </c>
      <c r="B1034" s="1" t="s">
        <v>2532</v>
      </c>
      <c r="C1034" t="s">
        <v>2533</v>
      </c>
      <c r="D1034">
        <v>187.9</v>
      </c>
      <c r="E1034">
        <v>197.3</v>
      </c>
      <c r="F1034">
        <v>99.9</v>
      </c>
      <c r="G1034">
        <v>98.4</v>
      </c>
      <c r="H1034">
        <v>183.7</v>
      </c>
      <c r="I1034">
        <v>190.6</v>
      </c>
      <c r="J1034">
        <v>100</v>
      </c>
      <c r="K1034">
        <v>100</v>
      </c>
      <c r="L1034" s="1" t="s">
        <v>2532</v>
      </c>
      <c r="M1034" t="s">
        <v>285</v>
      </c>
      <c r="N1034">
        <v>1</v>
      </c>
    </row>
    <row r="1035" spans="1:14" x14ac:dyDescent="0.25">
      <c r="A1035" s="3" t="str">
        <f>HYPERLINK("http://www.ncbi.nlm.nih.gov/gene/120227","120227")</f>
        <v>120227</v>
      </c>
      <c r="B1035" s="1" t="s">
        <v>2534</v>
      </c>
      <c r="D1035">
        <v>141.6</v>
      </c>
      <c r="E1035">
        <v>147.80000000000001</v>
      </c>
      <c r="F1035">
        <v>99.4</v>
      </c>
      <c r="G1035">
        <v>95.6</v>
      </c>
      <c r="H1035">
        <v>129.6</v>
      </c>
      <c r="I1035">
        <v>130.6</v>
      </c>
      <c r="J1035">
        <v>100</v>
      </c>
      <c r="K1035">
        <v>100</v>
      </c>
      <c r="L1035" s="1" t="s">
        <v>2534</v>
      </c>
      <c r="M1035" t="s">
        <v>351</v>
      </c>
      <c r="N1035">
        <v>4</v>
      </c>
    </row>
    <row r="1036" spans="1:14" x14ac:dyDescent="0.25">
      <c r="A1036" s="3" t="str">
        <f>HYPERLINK("http://www.ncbi.nlm.nih.gov/gene/113612","113612")</f>
        <v>113612</v>
      </c>
      <c r="B1036" s="1" t="s">
        <v>2535</v>
      </c>
      <c r="C1036" t="s">
        <v>2536</v>
      </c>
      <c r="D1036">
        <v>160.6</v>
      </c>
      <c r="E1036">
        <v>160</v>
      </c>
      <c r="F1036">
        <v>94.8</v>
      </c>
      <c r="G1036">
        <v>91.5</v>
      </c>
      <c r="H1036">
        <v>150</v>
      </c>
      <c r="I1036">
        <v>153.6</v>
      </c>
      <c r="J1036">
        <v>100</v>
      </c>
      <c r="K1036">
        <v>99.9</v>
      </c>
      <c r="L1036" s="1" t="s">
        <v>2535</v>
      </c>
      <c r="M1036" t="s">
        <v>703</v>
      </c>
      <c r="N1036">
        <v>5</v>
      </c>
    </row>
    <row r="1037" spans="1:14" x14ac:dyDescent="0.25">
      <c r="A1037" s="3" t="str">
        <f>HYPERLINK("http://www.ncbi.nlm.nih.gov/gene/126410","126410")</f>
        <v>126410</v>
      </c>
      <c r="B1037" s="1" t="s">
        <v>2537</v>
      </c>
      <c r="C1037" t="s">
        <v>2538</v>
      </c>
      <c r="D1037">
        <v>123.4</v>
      </c>
      <c r="E1037">
        <v>126.6</v>
      </c>
      <c r="F1037">
        <v>100</v>
      </c>
      <c r="G1037">
        <v>99.4</v>
      </c>
      <c r="H1037">
        <v>141.69999999999999</v>
      </c>
      <c r="I1037">
        <v>145.80000000000001</v>
      </c>
      <c r="J1037">
        <v>100</v>
      </c>
      <c r="K1037">
        <v>100</v>
      </c>
      <c r="L1037" s="1" t="s">
        <v>2537</v>
      </c>
      <c r="M1037" t="s">
        <v>246</v>
      </c>
      <c r="N1037">
        <v>3</v>
      </c>
    </row>
    <row r="1038" spans="1:14" x14ac:dyDescent="0.25">
      <c r="A1038" s="3" t="str">
        <f>HYPERLINK("http://www.ncbi.nlm.nih.gov/gene/285440","285440")</f>
        <v>285440</v>
      </c>
      <c r="B1038" s="1" t="s">
        <v>2539</v>
      </c>
      <c r="C1038" t="s">
        <v>2540</v>
      </c>
      <c r="D1038">
        <v>159.6</v>
      </c>
      <c r="E1038">
        <v>163.69999999999999</v>
      </c>
      <c r="F1038">
        <v>99.9</v>
      </c>
      <c r="G1038">
        <v>98.4</v>
      </c>
      <c r="H1038">
        <v>140.19999999999999</v>
      </c>
      <c r="I1038">
        <v>144.30000000000001</v>
      </c>
      <c r="J1038">
        <v>100</v>
      </c>
      <c r="K1038">
        <v>100</v>
      </c>
      <c r="L1038" s="1" t="s">
        <v>2539</v>
      </c>
      <c r="M1038" t="s">
        <v>56</v>
      </c>
      <c r="N1038">
        <v>3</v>
      </c>
    </row>
    <row r="1039" spans="1:14" x14ac:dyDescent="0.25">
      <c r="A1039" s="3" t="str">
        <f>HYPERLINK("http://www.ncbi.nlm.nih.gov/gene/9420","9420")</f>
        <v>9420</v>
      </c>
      <c r="B1039" s="1" t="s">
        <v>2541</v>
      </c>
      <c r="C1039" t="s">
        <v>2542</v>
      </c>
      <c r="D1039">
        <v>129.80000000000001</v>
      </c>
      <c r="E1039">
        <v>131.5</v>
      </c>
      <c r="F1039">
        <v>98</v>
      </c>
      <c r="G1039">
        <v>92.8</v>
      </c>
      <c r="H1039">
        <v>123.8</v>
      </c>
      <c r="I1039">
        <v>125.6</v>
      </c>
      <c r="J1039">
        <v>100</v>
      </c>
      <c r="K1039">
        <v>100</v>
      </c>
      <c r="L1039" s="1" t="s">
        <v>2541</v>
      </c>
      <c r="M1039" t="s">
        <v>2543</v>
      </c>
      <c r="N1039">
        <v>5</v>
      </c>
    </row>
    <row r="1040" spans="1:14" x14ac:dyDescent="0.25">
      <c r="A1040" s="3" t="str">
        <f>HYPERLINK("http://www.ncbi.nlm.nih.gov/gene/728294","728294")</f>
        <v>728294</v>
      </c>
      <c r="B1040" s="1" t="s">
        <v>2544</v>
      </c>
      <c r="C1040" t="s">
        <v>2545</v>
      </c>
      <c r="D1040">
        <v>125.3</v>
      </c>
      <c r="E1040">
        <v>135.30000000000001</v>
      </c>
      <c r="F1040">
        <v>99.2</v>
      </c>
      <c r="G1040">
        <v>97.2</v>
      </c>
      <c r="H1040">
        <v>142.9</v>
      </c>
      <c r="I1040">
        <v>146.9</v>
      </c>
      <c r="J1040">
        <v>100</v>
      </c>
      <c r="K1040">
        <v>100</v>
      </c>
      <c r="L1040" s="1" t="s">
        <v>2544</v>
      </c>
      <c r="M1040" t="s">
        <v>214</v>
      </c>
      <c r="N1040">
        <v>5</v>
      </c>
    </row>
    <row r="1041" spans="1:14" x14ac:dyDescent="0.25">
      <c r="A1041" s="3" t="str">
        <f>HYPERLINK("http://www.ncbi.nlm.nih.gov/gene/1600","1600")</f>
        <v>1600</v>
      </c>
      <c r="B1041" s="1" t="s">
        <v>2546</v>
      </c>
      <c r="C1041" t="s">
        <v>2547</v>
      </c>
      <c r="D1041">
        <v>136.9</v>
      </c>
      <c r="E1041">
        <v>138.9</v>
      </c>
      <c r="F1041">
        <v>100</v>
      </c>
      <c r="G1041">
        <v>100</v>
      </c>
      <c r="H1041">
        <v>139.1</v>
      </c>
      <c r="I1041">
        <v>141.4</v>
      </c>
      <c r="J1041">
        <v>100</v>
      </c>
      <c r="K1041">
        <v>100</v>
      </c>
      <c r="L1041" s="1" t="s">
        <v>2546</v>
      </c>
      <c r="M1041" t="s">
        <v>285</v>
      </c>
      <c r="N1041">
        <v>1</v>
      </c>
    </row>
    <row r="1042" spans="1:14" x14ac:dyDescent="0.25">
      <c r="A1042" s="3" t="str">
        <f>HYPERLINK("http://www.ncbi.nlm.nih.gov/gene/153090","153090")</f>
        <v>153090</v>
      </c>
      <c r="B1042" s="1" t="s">
        <v>2548</v>
      </c>
      <c r="C1042" t="s">
        <v>2549</v>
      </c>
      <c r="D1042">
        <v>162.4</v>
      </c>
      <c r="E1042">
        <v>167.5</v>
      </c>
      <c r="F1042">
        <v>95.1</v>
      </c>
      <c r="G1042">
        <v>94.2</v>
      </c>
      <c r="H1042">
        <v>139.4</v>
      </c>
      <c r="I1042">
        <v>142.1</v>
      </c>
      <c r="J1042">
        <v>99.9</v>
      </c>
      <c r="K1042">
        <v>99.4</v>
      </c>
      <c r="L1042" s="1" t="s">
        <v>2548</v>
      </c>
      <c r="M1042" t="s">
        <v>661</v>
      </c>
      <c r="N1042">
        <v>2</v>
      </c>
    </row>
    <row r="1043" spans="1:14" x14ac:dyDescent="0.25">
      <c r="A1043" s="3" t="str">
        <f>HYPERLINK("http://www.ncbi.nlm.nih.gov/gene/51339","51339")</f>
        <v>51339</v>
      </c>
      <c r="B1043" s="1" t="s">
        <v>2550</v>
      </c>
      <c r="C1043" t="s">
        <v>2551</v>
      </c>
      <c r="D1043">
        <v>154.5</v>
      </c>
      <c r="E1043">
        <v>137.9</v>
      </c>
      <c r="F1043">
        <v>93.6</v>
      </c>
      <c r="G1043">
        <v>91.1</v>
      </c>
      <c r="H1043">
        <v>143.19999999999999</v>
      </c>
      <c r="I1043">
        <v>143.6</v>
      </c>
      <c r="J1043">
        <v>100</v>
      </c>
      <c r="K1043">
        <v>99.9</v>
      </c>
      <c r="L1043" s="1" t="s">
        <v>2550</v>
      </c>
      <c r="M1043" t="s">
        <v>285</v>
      </c>
      <c r="N1043">
        <v>1</v>
      </c>
    </row>
    <row r="1044" spans="1:14" x14ac:dyDescent="0.25">
      <c r="A1044" s="3" t="str">
        <f>HYPERLINK("http://www.ncbi.nlm.nih.gov/gene/1605","1605")</f>
        <v>1605</v>
      </c>
      <c r="B1044" s="1" t="s">
        <v>2552</v>
      </c>
      <c r="C1044" t="s">
        <v>2553</v>
      </c>
      <c r="D1044">
        <v>244.6</v>
      </c>
      <c r="E1044">
        <v>203.4</v>
      </c>
      <c r="F1044">
        <v>100</v>
      </c>
      <c r="G1044">
        <v>100</v>
      </c>
      <c r="H1044">
        <v>174.9</v>
      </c>
      <c r="I1044">
        <v>175.6</v>
      </c>
      <c r="J1044">
        <v>100</v>
      </c>
      <c r="K1044">
        <v>100</v>
      </c>
      <c r="L1044" s="1" t="s">
        <v>2552</v>
      </c>
      <c r="M1044" t="s">
        <v>2554</v>
      </c>
      <c r="N1044">
        <v>4</v>
      </c>
    </row>
    <row r="1045" spans="1:14" x14ac:dyDescent="0.25">
      <c r="A1045" s="3" t="str">
        <f>HYPERLINK("http://www.ncbi.nlm.nih.gov/gene/1610","1610")</f>
        <v>1610</v>
      </c>
      <c r="B1045" s="1" t="s">
        <v>2555</v>
      </c>
      <c r="C1045" t="s">
        <v>2556</v>
      </c>
      <c r="D1045">
        <v>116</v>
      </c>
      <c r="E1045">
        <v>120</v>
      </c>
      <c r="F1045">
        <v>100</v>
      </c>
      <c r="G1045">
        <v>100</v>
      </c>
      <c r="H1045">
        <v>118.2</v>
      </c>
      <c r="I1045">
        <v>120.8</v>
      </c>
      <c r="J1045">
        <v>100</v>
      </c>
      <c r="K1045">
        <v>100</v>
      </c>
      <c r="L1045" s="1" t="s">
        <v>2555</v>
      </c>
      <c r="M1045" t="s">
        <v>93</v>
      </c>
      <c r="N1045">
        <v>2</v>
      </c>
    </row>
    <row r="1046" spans="1:14" x14ac:dyDescent="0.25">
      <c r="A1046" s="3" t="str">
        <f>HYPERLINK("http://www.ncbi.nlm.nih.gov/gene/1615","1615")</f>
        <v>1615</v>
      </c>
      <c r="B1046" s="1" t="s">
        <v>2557</v>
      </c>
      <c r="C1046" t="s">
        <v>2558</v>
      </c>
      <c r="D1046">
        <v>153.4</v>
      </c>
      <c r="E1046">
        <v>157.6</v>
      </c>
      <c r="F1046">
        <v>100</v>
      </c>
      <c r="G1046">
        <v>99.3</v>
      </c>
      <c r="H1046">
        <v>114</v>
      </c>
      <c r="I1046">
        <v>116.8</v>
      </c>
      <c r="J1046">
        <v>100</v>
      </c>
      <c r="K1046">
        <v>100</v>
      </c>
      <c r="L1046" s="1" t="s">
        <v>2557</v>
      </c>
      <c r="M1046" t="s">
        <v>548</v>
      </c>
      <c r="N1046">
        <v>5</v>
      </c>
    </row>
    <row r="1047" spans="1:14" x14ac:dyDescent="0.25">
      <c r="A1047" s="3" t="str">
        <f>HYPERLINK("http://www.ncbi.nlm.nih.gov/gene/55157","55157")</f>
        <v>55157</v>
      </c>
      <c r="B1047" s="1" t="s">
        <v>2559</v>
      </c>
      <c r="C1047" t="s">
        <v>2560</v>
      </c>
      <c r="D1047">
        <v>138.6</v>
      </c>
      <c r="E1047">
        <v>143.6</v>
      </c>
      <c r="F1047">
        <v>94.9</v>
      </c>
      <c r="G1047">
        <v>94.3</v>
      </c>
      <c r="H1047">
        <v>122.4</v>
      </c>
      <c r="I1047">
        <v>125.5</v>
      </c>
      <c r="J1047">
        <v>100</v>
      </c>
      <c r="K1047">
        <v>100</v>
      </c>
      <c r="L1047" s="1" t="s">
        <v>2559</v>
      </c>
      <c r="M1047" t="s">
        <v>2561</v>
      </c>
      <c r="N1047">
        <v>7</v>
      </c>
    </row>
    <row r="1048" spans="1:14" x14ac:dyDescent="0.25">
      <c r="A1048" s="3" t="str">
        <f>HYPERLINK("http://www.ncbi.nlm.nih.gov/gene/10926","10926")</f>
        <v>10926</v>
      </c>
      <c r="B1048" s="1" t="s">
        <v>2562</v>
      </c>
      <c r="C1048" t="s">
        <v>2563</v>
      </c>
      <c r="D1048">
        <v>95.8</v>
      </c>
      <c r="E1048">
        <v>99.1</v>
      </c>
      <c r="F1048">
        <v>96.6</v>
      </c>
      <c r="G1048">
        <v>89.6</v>
      </c>
      <c r="H1048">
        <v>122.8</v>
      </c>
      <c r="I1048">
        <v>125.3</v>
      </c>
      <c r="J1048">
        <v>100</v>
      </c>
      <c r="K1048">
        <v>100</v>
      </c>
      <c r="L1048" s="1" t="s">
        <v>2562</v>
      </c>
      <c r="M1048" t="s">
        <v>2564</v>
      </c>
      <c r="N1048">
        <v>3</v>
      </c>
    </row>
    <row r="1049" spans="1:14" x14ac:dyDescent="0.25">
      <c r="A1049" s="3" t="str">
        <f>HYPERLINK("http://www.ncbi.nlm.nih.gov/gene/1621","1621")</f>
        <v>1621</v>
      </c>
      <c r="B1049" s="1" t="s">
        <v>2565</v>
      </c>
      <c r="C1049" t="s">
        <v>2566</v>
      </c>
      <c r="D1049">
        <v>158.5</v>
      </c>
      <c r="E1049">
        <v>167.2</v>
      </c>
      <c r="F1049">
        <v>100</v>
      </c>
      <c r="G1049">
        <v>100</v>
      </c>
      <c r="H1049">
        <v>153.19999999999999</v>
      </c>
      <c r="I1049">
        <v>157.5</v>
      </c>
      <c r="J1049">
        <v>100</v>
      </c>
      <c r="K1049">
        <v>100</v>
      </c>
      <c r="L1049" s="1" t="s">
        <v>2565</v>
      </c>
      <c r="M1049" t="s">
        <v>116</v>
      </c>
      <c r="N1049">
        <v>3</v>
      </c>
    </row>
    <row r="1050" spans="1:14" x14ac:dyDescent="0.25">
      <c r="A1050" s="3" t="str">
        <f>HYPERLINK("http://www.ncbi.nlm.nih.gov/gene/51163","51163")</f>
        <v>51163</v>
      </c>
      <c r="B1050" s="1" t="s">
        <v>2567</v>
      </c>
      <c r="D1050">
        <v>136.6</v>
      </c>
      <c r="E1050">
        <v>142</v>
      </c>
      <c r="F1050">
        <v>100</v>
      </c>
      <c r="G1050">
        <v>99.3</v>
      </c>
      <c r="H1050">
        <v>136.19999999999999</v>
      </c>
      <c r="I1050">
        <v>140.5</v>
      </c>
      <c r="J1050">
        <v>100</v>
      </c>
      <c r="K1050">
        <v>100</v>
      </c>
      <c r="L1050" s="1" t="s">
        <v>2567</v>
      </c>
      <c r="M1050" t="s">
        <v>502</v>
      </c>
      <c r="N1050">
        <v>2</v>
      </c>
    </row>
    <row r="1051" spans="1:14" x14ac:dyDescent="0.25">
      <c r="A1051" s="3" t="str">
        <f>HYPERLINK("http://www.ncbi.nlm.nih.gov/gene/1629","1629")</f>
        <v>1629</v>
      </c>
      <c r="B1051" s="1" t="s">
        <v>2568</v>
      </c>
      <c r="C1051" t="s">
        <v>2569</v>
      </c>
      <c r="D1051">
        <v>131.30000000000001</v>
      </c>
      <c r="E1051">
        <v>134.80000000000001</v>
      </c>
      <c r="F1051">
        <v>99.8</v>
      </c>
      <c r="G1051">
        <v>98</v>
      </c>
      <c r="H1051">
        <v>128.4</v>
      </c>
      <c r="I1051">
        <v>132.4</v>
      </c>
      <c r="J1051">
        <v>100</v>
      </c>
      <c r="K1051">
        <v>100</v>
      </c>
      <c r="L1051" s="1" t="s">
        <v>2568</v>
      </c>
      <c r="M1051" t="s">
        <v>703</v>
      </c>
      <c r="N1051">
        <v>5</v>
      </c>
    </row>
    <row r="1052" spans="1:14" x14ac:dyDescent="0.25">
      <c r="A1052" s="3" t="str">
        <f>HYPERLINK("http://www.ncbi.nlm.nih.gov/gene/80067","80067")</f>
        <v>80067</v>
      </c>
      <c r="B1052" s="1" t="s">
        <v>2570</v>
      </c>
      <c r="C1052" t="s">
        <v>2571</v>
      </c>
      <c r="D1052">
        <v>104.3</v>
      </c>
      <c r="E1052">
        <v>107.3</v>
      </c>
      <c r="F1052">
        <v>98.9</v>
      </c>
      <c r="G1052">
        <v>93.3</v>
      </c>
      <c r="H1052">
        <v>115.3</v>
      </c>
      <c r="I1052">
        <v>118.1</v>
      </c>
      <c r="J1052">
        <v>100</v>
      </c>
      <c r="K1052">
        <v>100</v>
      </c>
      <c r="L1052" s="1" t="s">
        <v>2570</v>
      </c>
      <c r="M1052" t="s">
        <v>2572</v>
      </c>
      <c r="N1052">
        <v>7</v>
      </c>
    </row>
    <row r="1053" spans="1:14" x14ac:dyDescent="0.25">
      <c r="A1053" s="3" t="str">
        <f>HYPERLINK("http://www.ncbi.nlm.nih.gov/gene/50717","50717")</f>
        <v>50717</v>
      </c>
      <c r="B1053" s="1" t="s">
        <v>2573</v>
      </c>
      <c r="C1053" t="s">
        <v>2574</v>
      </c>
      <c r="D1053">
        <v>122.9</v>
      </c>
      <c r="E1053">
        <v>110.8</v>
      </c>
      <c r="F1053">
        <v>100</v>
      </c>
      <c r="G1053">
        <v>99.9</v>
      </c>
      <c r="H1053">
        <v>154.30000000000001</v>
      </c>
      <c r="I1053">
        <v>157.1</v>
      </c>
      <c r="J1053">
        <v>100</v>
      </c>
      <c r="K1053">
        <v>100</v>
      </c>
      <c r="L1053" s="1" t="s">
        <v>2573</v>
      </c>
      <c r="M1053" t="s">
        <v>718</v>
      </c>
      <c r="N1053">
        <v>2</v>
      </c>
    </row>
    <row r="1054" spans="1:14" x14ac:dyDescent="0.25">
      <c r="A1054" s="3" t="str">
        <f>HYPERLINK("http://www.ncbi.nlm.nih.gov/gene/1630","1630")</f>
        <v>1630</v>
      </c>
      <c r="B1054" s="1" t="s">
        <v>2575</v>
      </c>
      <c r="C1054" t="s">
        <v>2576</v>
      </c>
      <c r="D1054">
        <v>142.4</v>
      </c>
      <c r="E1054">
        <v>147.1</v>
      </c>
      <c r="F1054">
        <v>100</v>
      </c>
      <c r="G1054">
        <v>100</v>
      </c>
      <c r="H1054">
        <v>147.9</v>
      </c>
      <c r="I1054">
        <v>152.5</v>
      </c>
      <c r="J1054">
        <v>100</v>
      </c>
      <c r="K1054">
        <v>100</v>
      </c>
      <c r="L1054" s="1" t="s">
        <v>2575</v>
      </c>
      <c r="M1054" t="s">
        <v>2577</v>
      </c>
      <c r="N1054">
        <v>6</v>
      </c>
    </row>
    <row r="1055" spans="1:14" x14ac:dyDescent="0.25">
      <c r="A1055" s="3" t="str">
        <f>HYPERLINK("http://www.ncbi.nlm.nih.gov/gene/51473","51473")</f>
        <v>51473</v>
      </c>
      <c r="B1055" s="1" t="s">
        <v>2578</v>
      </c>
      <c r="C1055" t="s">
        <v>2579</v>
      </c>
      <c r="D1055">
        <v>168</v>
      </c>
      <c r="E1055">
        <v>174.2</v>
      </c>
      <c r="F1055">
        <v>100</v>
      </c>
      <c r="G1055">
        <v>99.9</v>
      </c>
      <c r="H1055">
        <v>147.19999999999999</v>
      </c>
      <c r="I1055">
        <v>150.5</v>
      </c>
      <c r="J1055">
        <v>100</v>
      </c>
      <c r="K1055">
        <v>100</v>
      </c>
      <c r="L1055" s="1" t="s">
        <v>2578</v>
      </c>
      <c r="M1055" t="s">
        <v>2580</v>
      </c>
      <c r="N1055">
        <v>6</v>
      </c>
    </row>
    <row r="1056" spans="1:14" x14ac:dyDescent="0.25">
      <c r="A1056" s="3" t="str">
        <f>HYPERLINK("http://www.ncbi.nlm.nih.gov/gene/8642","8642")</f>
        <v>8642</v>
      </c>
      <c r="B1056" s="1" t="s">
        <v>2581</v>
      </c>
      <c r="C1056" t="s">
        <v>2582</v>
      </c>
      <c r="D1056">
        <v>157.9</v>
      </c>
      <c r="E1056">
        <v>148.1</v>
      </c>
      <c r="F1056">
        <v>99.8</v>
      </c>
      <c r="G1056">
        <v>99.1</v>
      </c>
      <c r="H1056">
        <v>153.4</v>
      </c>
      <c r="I1056">
        <v>154.5</v>
      </c>
      <c r="J1056">
        <v>100</v>
      </c>
      <c r="K1056">
        <v>100</v>
      </c>
      <c r="L1056" s="1" t="s">
        <v>2581</v>
      </c>
      <c r="M1056" t="s">
        <v>2583</v>
      </c>
      <c r="N1056">
        <v>4</v>
      </c>
    </row>
    <row r="1057" spans="1:14" x14ac:dyDescent="0.25">
      <c r="A1057" s="3" t="str">
        <f>HYPERLINK("http://www.ncbi.nlm.nih.gov/gene/64421","64421")</f>
        <v>64421</v>
      </c>
      <c r="B1057" s="1" t="s">
        <v>2584</v>
      </c>
      <c r="C1057" t="s">
        <v>2585</v>
      </c>
      <c r="D1057">
        <v>156.4</v>
      </c>
      <c r="E1057">
        <v>163.4</v>
      </c>
      <c r="F1057">
        <v>100</v>
      </c>
      <c r="G1057">
        <v>99.4</v>
      </c>
      <c r="H1057">
        <v>139.30000000000001</v>
      </c>
      <c r="I1057">
        <v>141.6</v>
      </c>
      <c r="J1057">
        <v>100</v>
      </c>
      <c r="K1057">
        <v>100</v>
      </c>
      <c r="L1057" s="1" t="s">
        <v>2584</v>
      </c>
      <c r="M1057" t="s">
        <v>2586</v>
      </c>
      <c r="N1057">
        <v>5</v>
      </c>
    </row>
    <row r="1058" spans="1:14" x14ac:dyDescent="0.25">
      <c r="A1058" s="3" t="str">
        <f>HYPERLINK("http://www.ncbi.nlm.nih.gov/gene/1634","1634")</f>
        <v>1634</v>
      </c>
      <c r="B1058" s="1" t="s">
        <v>2587</v>
      </c>
      <c r="C1058" t="s">
        <v>2588</v>
      </c>
      <c r="D1058">
        <v>157</v>
      </c>
      <c r="E1058">
        <v>162.4</v>
      </c>
      <c r="F1058">
        <v>95.7</v>
      </c>
      <c r="G1058">
        <v>95.6</v>
      </c>
      <c r="H1058">
        <v>120.3</v>
      </c>
      <c r="I1058">
        <v>124.2</v>
      </c>
      <c r="J1058">
        <v>95.7</v>
      </c>
      <c r="K1058">
        <v>95.7</v>
      </c>
      <c r="L1058" s="1" t="s">
        <v>2587</v>
      </c>
      <c r="M1058" t="s">
        <v>302</v>
      </c>
      <c r="N1058">
        <v>2</v>
      </c>
    </row>
    <row r="1059" spans="1:14" x14ac:dyDescent="0.25">
      <c r="A1059" s="3" t="str">
        <f>HYPERLINK("http://www.ncbi.nlm.nih.gov/gene/28960","28960")</f>
        <v>28960</v>
      </c>
      <c r="B1059" s="1" t="s">
        <v>2589</v>
      </c>
      <c r="C1059" t="s">
        <v>2590</v>
      </c>
      <c r="D1059">
        <v>138.6</v>
      </c>
      <c r="E1059">
        <v>147.19999999999999</v>
      </c>
      <c r="F1059">
        <v>91.3</v>
      </c>
      <c r="G1059">
        <v>91.2</v>
      </c>
      <c r="H1059">
        <v>148.69999999999999</v>
      </c>
      <c r="I1059">
        <v>153.4</v>
      </c>
      <c r="J1059">
        <v>100</v>
      </c>
      <c r="K1059">
        <v>100</v>
      </c>
      <c r="L1059" s="1" t="s">
        <v>2589</v>
      </c>
      <c r="M1059" t="s">
        <v>228</v>
      </c>
      <c r="N1059">
        <v>3</v>
      </c>
    </row>
    <row r="1060" spans="1:14" x14ac:dyDescent="0.25">
      <c r="A1060" s="3" t="str">
        <f>HYPERLINK("http://www.ncbi.nlm.nih.gov/gene/1639","1639")</f>
        <v>1639</v>
      </c>
      <c r="B1060" s="1" t="s">
        <v>2591</v>
      </c>
      <c r="C1060" t="s">
        <v>2592</v>
      </c>
      <c r="D1060">
        <v>123.3</v>
      </c>
      <c r="E1060">
        <v>126</v>
      </c>
      <c r="F1060">
        <v>100</v>
      </c>
      <c r="G1060">
        <v>98.8</v>
      </c>
      <c r="H1060">
        <v>141.30000000000001</v>
      </c>
      <c r="I1060">
        <v>145.6</v>
      </c>
      <c r="J1060">
        <v>100</v>
      </c>
      <c r="K1060">
        <v>100</v>
      </c>
      <c r="L1060" s="1" t="s">
        <v>2591</v>
      </c>
      <c r="M1060" t="s">
        <v>2593</v>
      </c>
      <c r="N1060">
        <v>4</v>
      </c>
    </row>
    <row r="1061" spans="1:14" x14ac:dyDescent="0.25">
      <c r="A1061" s="3" t="str">
        <f>HYPERLINK("http://www.ncbi.nlm.nih.gov/gene/10540","10540")</f>
        <v>10540</v>
      </c>
      <c r="B1061" s="1" t="s">
        <v>2594</v>
      </c>
      <c r="C1061" t="s">
        <v>2595</v>
      </c>
      <c r="D1061">
        <v>100.7</v>
      </c>
      <c r="E1061">
        <v>102</v>
      </c>
      <c r="F1061">
        <v>100</v>
      </c>
      <c r="G1061">
        <v>99.7</v>
      </c>
      <c r="H1061">
        <v>131.6</v>
      </c>
      <c r="I1061">
        <v>133.9</v>
      </c>
      <c r="J1061">
        <v>100</v>
      </c>
      <c r="K1061">
        <v>100</v>
      </c>
      <c r="L1061" s="1" t="s">
        <v>2594</v>
      </c>
      <c r="M1061" t="s">
        <v>718</v>
      </c>
      <c r="N1061">
        <v>2</v>
      </c>
    </row>
    <row r="1062" spans="1:14" x14ac:dyDescent="0.25">
      <c r="A1062" s="3" t="str">
        <f>HYPERLINK("http://www.ncbi.nlm.nih.gov/gene/1641","1641")</f>
        <v>1641</v>
      </c>
      <c r="B1062" s="1" t="s">
        <v>2596</v>
      </c>
      <c r="C1062" t="s">
        <v>2597</v>
      </c>
      <c r="D1062">
        <v>114</v>
      </c>
      <c r="E1062">
        <v>114.9</v>
      </c>
      <c r="F1062">
        <v>100</v>
      </c>
      <c r="G1062">
        <v>99.9</v>
      </c>
      <c r="H1062">
        <v>144.80000000000001</v>
      </c>
      <c r="I1062">
        <v>149.69999999999999</v>
      </c>
      <c r="J1062">
        <v>100</v>
      </c>
      <c r="K1062">
        <v>100</v>
      </c>
      <c r="L1062" s="1" t="s">
        <v>2596</v>
      </c>
      <c r="M1062" t="s">
        <v>1425</v>
      </c>
      <c r="N1062">
        <v>3</v>
      </c>
    </row>
    <row r="1063" spans="1:14" x14ac:dyDescent="0.25">
      <c r="A1063" s="3" t="str">
        <f>HYPERLINK("http://www.ncbi.nlm.nih.gov/gene/51181","51181")</f>
        <v>51181</v>
      </c>
      <c r="B1063" s="1" t="s">
        <v>2598</v>
      </c>
      <c r="C1063" t="s">
        <v>2599</v>
      </c>
      <c r="D1063">
        <v>171.4</v>
      </c>
      <c r="E1063">
        <v>175.3</v>
      </c>
      <c r="F1063">
        <v>98.6</v>
      </c>
      <c r="G1063">
        <v>93.6</v>
      </c>
      <c r="H1063">
        <v>146</v>
      </c>
      <c r="I1063">
        <v>148.6</v>
      </c>
      <c r="J1063">
        <v>100</v>
      </c>
      <c r="K1063">
        <v>100</v>
      </c>
      <c r="L1063" s="1" t="s">
        <v>2598</v>
      </c>
      <c r="M1063" t="s">
        <v>93</v>
      </c>
      <c r="N1063">
        <v>2</v>
      </c>
    </row>
    <row r="1064" spans="1:14" x14ac:dyDescent="0.25">
      <c r="A1064" s="3" t="str">
        <f>HYPERLINK("http://www.ncbi.nlm.nih.gov/gene/1643","1643")</f>
        <v>1643</v>
      </c>
      <c r="B1064" s="1" t="s">
        <v>2600</v>
      </c>
      <c r="C1064" t="s">
        <v>2601</v>
      </c>
      <c r="D1064">
        <v>161.19999999999999</v>
      </c>
      <c r="E1064">
        <v>165.3</v>
      </c>
      <c r="F1064">
        <v>99.6</v>
      </c>
      <c r="G1064">
        <v>97.5</v>
      </c>
      <c r="H1064">
        <v>133.69999999999999</v>
      </c>
      <c r="I1064">
        <v>137</v>
      </c>
      <c r="J1064">
        <v>100</v>
      </c>
      <c r="K1064">
        <v>100</v>
      </c>
      <c r="L1064" s="1" t="s">
        <v>2600</v>
      </c>
      <c r="M1064" t="s">
        <v>2602</v>
      </c>
      <c r="N1064">
        <v>4</v>
      </c>
    </row>
    <row r="1065" spans="1:14" x14ac:dyDescent="0.25">
      <c r="A1065" s="3" t="str">
        <f>HYPERLINK("http://www.ncbi.nlm.nih.gov/gene/1644","1644")</f>
        <v>1644</v>
      </c>
      <c r="B1065" s="1" t="s">
        <v>2603</v>
      </c>
      <c r="C1065" t="s">
        <v>2604</v>
      </c>
      <c r="D1065">
        <v>117.7</v>
      </c>
      <c r="E1065">
        <v>121.6</v>
      </c>
      <c r="F1065">
        <v>99.7</v>
      </c>
      <c r="G1065">
        <v>96.4</v>
      </c>
      <c r="H1065">
        <v>131.30000000000001</v>
      </c>
      <c r="I1065">
        <v>134.9</v>
      </c>
      <c r="J1065">
        <v>100</v>
      </c>
      <c r="K1065">
        <v>100</v>
      </c>
      <c r="L1065" s="1" t="s">
        <v>2603</v>
      </c>
      <c r="M1065" t="s">
        <v>703</v>
      </c>
      <c r="N1065">
        <v>5</v>
      </c>
    </row>
    <row r="1066" spans="1:14" x14ac:dyDescent="0.25">
      <c r="A1066" s="3" t="str">
        <f>HYPERLINK("http://www.ncbi.nlm.nih.gov/gene/80821","80821")</f>
        <v>80821</v>
      </c>
      <c r="B1066" s="1" t="s">
        <v>2605</v>
      </c>
      <c r="C1066" t="s">
        <v>2606</v>
      </c>
      <c r="D1066">
        <v>164.2</v>
      </c>
      <c r="E1066">
        <v>164</v>
      </c>
      <c r="F1066">
        <v>97.9</v>
      </c>
      <c r="G1066">
        <v>95.8</v>
      </c>
      <c r="H1066">
        <v>142.80000000000001</v>
      </c>
      <c r="I1066">
        <v>147.19999999999999</v>
      </c>
      <c r="J1066">
        <v>100</v>
      </c>
      <c r="K1066">
        <v>100</v>
      </c>
      <c r="L1066" s="1" t="s">
        <v>2605</v>
      </c>
      <c r="M1066" t="s">
        <v>2607</v>
      </c>
      <c r="N1066">
        <v>6</v>
      </c>
    </row>
    <row r="1067" spans="1:14" x14ac:dyDescent="0.25">
      <c r="A1067" s="3" t="str">
        <f>HYPERLINK("http://www.ncbi.nlm.nih.gov/gene/23259","23259")</f>
        <v>23259</v>
      </c>
      <c r="B1067" s="1" t="s">
        <v>2608</v>
      </c>
      <c r="C1067" t="s">
        <v>2609</v>
      </c>
      <c r="D1067">
        <v>138.80000000000001</v>
      </c>
      <c r="E1067">
        <v>144.9</v>
      </c>
      <c r="F1067">
        <v>100</v>
      </c>
      <c r="G1067">
        <v>99.6</v>
      </c>
      <c r="H1067">
        <v>126.1</v>
      </c>
      <c r="I1067">
        <v>130.19999999999999</v>
      </c>
      <c r="J1067">
        <v>100</v>
      </c>
      <c r="K1067">
        <v>100</v>
      </c>
      <c r="L1067" s="1" t="s">
        <v>2608</v>
      </c>
      <c r="M1067" t="s">
        <v>288</v>
      </c>
      <c r="N1067">
        <v>4</v>
      </c>
    </row>
    <row r="1068" spans="1:14" x14ac:dyDescent="0.25">
      <c r="A1068" s="3" t="str">
        <f>HYPERLINK("http://www.ncbi.nlm.nih.gov/gene/1650","1650")</f>
        <v>1650</v>
      </c>
      <c r="B1068" s="1" t="s">
        <v>2610</v>
      </c>
      <c r="C1068" t="s">
        <v>2611</v>
      </c>
      <c r="D1068">
        <v>124.4</v>
      </c>
      <c r="E1068">
        <v>127.8</v>
      </c>
      <c r="F1068">
        <v>100</v>
      </c>
      <c r="G1068">
        <v>99.9</v>
      </c>
      <c r="H1068">
        <v>130</v>
      </c>
      <c r="I1068">
        <v>133.5</v>
      </c>
      <c r="J1068">
        <v>100</v>
      </c>
      <c r="K1068">
        <v>100</v>
      </c>
      <c r="L1068" s="1" t="s">
        <v>2610</v>
      </c>
      <c r="M1068" t="s">
        <v>116</v>
      </c>
      <c r="N1068">
        <v>3</v>
      </c>
    </row>
    <row r="1069" spans="1:14" x14ac:dyDescent="0.25">
      <c r="A1069" s="3" t="str">
        <f>HYPERLINK("http://www.ncbi.nlm.nih.gov/gene/4921","4921")</f>
        <v>4921</v>
      </c>
      <c r="B1069" s="1" t="s">
        <v>2612</v>
      </c>
      <c r="C1069" t="s">
        <v>2613</v>
      </c>
      <c r="D1069">
        <v>131.30000000000001</v>
      </c>
      <c r="E1069">
        <v>138.1</v>
      </c>
      <c r="F1069">
        <v>100</v>
      </c>
      <c r="G1069">
        <v>99.9</v>
      </c>
      <c r="H1069">
        <v>132.69999999999999</v>
      </c>
      <c r="I1069">
        <v>137.19999999999999</v>
      </c>
      <c r="J1069">
        <v>100</v>
      </c>
      <c r="K1069">
        <v>100</v>
      </c>
      <c r="L1069" s="1" t="s">
        <v>2612</v>
      </c>
      <c r="M1069" t="s">
        <v>2614</v>
      </c>
      <c r="N1069">
        <v>3</v>
      </c>
    </row>
    <row r="1070" spans="1:14" x14ac:dyDescent="0.25">
      <c r="A1070" s="3" t="str">
        <f>HYPERLINK("http://www.ncbi.nlm.nih.gov/gene/65992","65992")</f>
        <v>65992</v>
      </c>
      <c r="B1070" s="1" t="s">
        <v>2615</v>
      </c>
      <c r="C1070" t="s">
        <v>2616</v>
      </c>
      <c r="D1070">
        <v>103.1</v>
      </c>
      <c r="E1070">
        <v>104.4</v>
      </c>
      <c r="F1070">
        <v>100</v>
      </c>
      <c r="G1070">
        <v>99.9</v>
      </c>
      <c r="H1070">
        <v>128.5</v>
      </c>
      <c r="I1070">
        <v>131.69999999999999</v>
      </c>
      <c r="J1070">
        <v>100</v>
      </c>
      <c r="K1070">
        <v>100</v>
      </c>
      <c r="L1070" s="1" t="s">
        <v>2615</v>
      </c>
      <c r="M1070" t="s">
        <v>1168</v>
      </c>
      <c r="N1070">
        <v>3</v>
      </c>
    </row>
    <row r="1071" spans="1:14" x14ac:dyDescent="0.25">
      <c r="A1071" s="3" t="str">
        <f>HYPERLINK("http://www.ncbi.nlm.nih.gov/gene/1663","1663")</f>
        <v>1663</v>
      </c>
      <c r="B1071" s="1" t="s">
        <v>2617</v>
      </c>
      <c r="C1071" t="s">
        <v>2618</v>
      </c>
      <c r="D1071">
        <v>106.4</v>
      </c>
      <c r="E1071">
        <v>108.7</v>
      </c>
      <c r="F1071">
        <v>85.2</v>
      </c>
      <c r="G1071">
        <v>80.7</v>
      </c>
      <c r="H1071">
        <v>131.19999999999999</v>
      </c>
      <c r="I1071">
        <v>135.30000000000001</v>
      </c>
      <c r="J1071">
        <v>100</v>
      </c>
      <c r="K1071">
        <v>100</v>
      </c>
      <c r="L1071" s="1" t="s">
        <v>2617</v>
      </c>
      <c r="M1071" t="s">
        <v>2619</v>
      </c>
      <c r="N1071">
        <v>4</v>
      </c>
    </row>
    <row r="1072" spans="1:14" x14ac:dyDescent="0.25">
      <c r="A1072" s="3" t="str">
        <f>HYPERLINK("http://www.ncbi.nlm.nih.gov/gene/1654","1654")</f>
        <v>1654</v>
      </c>
      <c r="B1072" s="1" t="s">
        <v>2620</v>
      </c>
      <c r="C1072" t="s">
        <v>2621</v>
      </c>
      <c r="D1072">
        <v>77.2</v>
      </c>
      <c r="E1072">
        <v>76.599999999999994</v>
      </c>
      <c r="F1072">
        <v>81.2</v>
      </c>
      <c r="G1072">
        <v>78.900000000000006</v>
      </c>
      <c r="H1072">
        <v>115</v>
      </c>
      <c r="I1072">
        <v>117.1</v>
      </c>
      <c r="J1072">
        <v>98</v>
      </c>
      <c r="K1072">
        <v>96.1</v>
      </c>
      <c r="L1072" s="1" t="s">
        <v>2620</v>
      </c>
      <c r="M1072" t="s">
        <v>2622</v>
      </c>
      <c r="N1072">
        <v>4</v>
      </c>
    </row>
    <row r="1073" spans="1:14" x14ac:dyDescent="0.25">
      <c r="A1073" s="3" t="str">
        <f>HYPERLINK("http://www.ncbi.nlm.nih.gov/gene/51428","51428")</f>
        <v>51428</v>
      </c>
      <c r="B1073" s="1" t="s">
        <v>2623</v>
      </c>
      <c r="C1073" t="s">
        <v>2624</v>
      </c>
      <c r="D1073">
        <v>157.6</v>
      </c>
      <c r="E1073">
        <v>161.69999999999999</v>
      </c>
      <c r="F1073">
        <v>100</v>
      </c>
      <c r="G1073">
        <v>100</v>
      </c>
      <c r="H1073">
        <v>147.6</v>
      </c>
      <c r="I1073">
        <v>150.19999999999999</v>
      </c>
      <c r="J1073">
        <v>100</v>
      </c>
      <c r="K1073">
        <v>100</v>
      </c>
      <c r="L1073" s="1" t="s">
        <v>2623</v>
      </c>
      <c r="M1073" t="s">
        <v>2625</v>
      </c>
      <c r="N1073">
        <v>3</v>
      </c>
    </row>
    <row r="1074" spans="1:14" x14ac:dyDescent="0.25">
      <c r="A1074" s="3" t="str">
        <f>HYPERLINK("http://www.ncbi.nlm.nih.gov/gene/23586","23586")</f>
        <v>23586</v>
      </c>
      <c r="B1074" s="1" t="s">
        <v>2626</v>
      </c>
      <c r="C1074" t="s">
        <v>2627</v>
      </c>
      <c r="D1074">
        <v>142.6</v>
      </c>
      <c r="E1074">
        <v>149.1</v>
      </c>
      <c r="F1074">
        <v>99.9</v>
      </c>
      <c r="G1074">
        <v>99</v>
      </c>
      <c r="H1074">
        <v>134</v>
      </c>
      <c r="I1074">
        <v>138</v>
      </c>
      <c r="J1074">
        <v>100</v>
      </c>
      <c r="K1074">
        <v>100</v>
      </c>
      <c r="L1074" s="1" t="s">
        <v>2626</v>
      </c>
      <c r="M1074" t="s">
        <v>2628</v>
      </c>
      <c r="N1074">
        <v>3</v>
      </c>
    </row>
    <row r="1075" spans="1:14" x14ac:dyDescent="0.25">
      <c r="A1075" s="3" t="str">
        <f>HYPERLINK("http://www.ncbi.nlm.nih.gov/gene/83479","83479")</f>
        <v>83479</v>
      </c>
      <c r="B1075" s="1" t="s">
        <v>2629</v>
      </c>
      <c r="C1075" t="s">
        <v>2630</v>
      </c>
      <c r="D1075">
        <v>167.4</v>
      </c>
      <c r="E1075">
        <v>172</v>
      </c>
      <c r="F1075">
        <v>100</v>
      </c>
      <c r="G1075">
        <v>100</v>
      </c>
      <c r="H1075">
        <v>134.69999999999999</v>
      </c>
      <c r="I1075">
        <v>138.30000000000001</v>
      </c>
      <c r="J1075">
        <v>100</v>
      </c>
      <c r="K1075">
        <v>100</v>
      </c>
      <c r="L1075" s="1" t="s">
        <v>2629</v>
      </c>
      <c r="M1075" t="s">
        <v>2631</v>
      </c>
      <c r="N1075">
        <v>5</v>
      </c>
    </row>
    <row r="1076" spans="1:14" x14ac:dyDescent="0.25">
      <c r="A1076" s="3" t="str">
        <f>HYPERLINK("http://www.ncbi.nlm.nih.gov/gene/1656","1656")</f>
        <v>1656</v>
      </c>
      <c r="B1076" s="1" t="s">
        <v>2632</v>
      </c>
      <c r="C1076" t="s">
        <v>2633</v>
      </c>
      <c r="D1076">
        <v>72.2</v>
      </c>
      <c r="E1076">
        <v>73.5</v>
      </c>
      <c r="F1076">
        <v>97.7</v>
      </c>
      <c r="G1076">
        <v>88.7</v>
      </c>
      <c r="H1076">
        <v>131.80000000000001</v>
      </c>
      <c r="I1076">
        <v>135.19999999999999</v>
      </c>
      <c r="J1076">
        <v>100</v>
      </c>
      <c r="K1076">
        <v>100</v>
      </c>
      <c r="L1076" s="1" t="s">
        <v>2632</v>
      </c>
      <c r="M1076" t="s">
        <v>1624</v>
      </c>
      <c r="N1076">
        <v>2</v>
      </c>
    </row>
    <row r="1077" spans="1:14" x14ac:dyDescent="0.25">
      <c r="A1077" s="3" t="str">
        <f>HYPERLINK("http://www.ncbi.nlm.nih.gov/gene/10522","10522")</f>
        <v>10522</v>
      </c>
      <c r="B1077" s="1" t="s">
        <v>2634</v>
      </c>
      <c r="C1077" t="s">
        <v>2635</v>
      </c>
      <c r="D1077">
        <v>111.7</v>
      </c>
      <c r="E1077">
        <v>114.7</v>
      </c>
      <c r="F1077">
        <v>97.3</v>
      </c>
      <c r="G1077">
        <v>88.8</v>
      </c>
      <c r="H1077">
        <v>117.1</v>
      </c>
      <c r="I1077">
        <v>119.9</v>
      </c>
      <c r="J1077">
        <v>100</v>
      </c>
      <c r="K1077">
        <v>98.7</v>
      </c>
      <c r="L1077" s="1" t="s">
        <v>2634</v>
      </c>
      <c r="M1077" t="s">
        <v>2636</v>
      </c>
      <c r="N1077">
        <v>3</v>
      </c>
    </row>
    <row r="1078" spans="1:14" x14ac:dyDescent="0.25">
      <c r="A1078" s="3" t="str">
        <f>HYPERLINK("http://www.ncbi.nlm.nih.gov/gene/50619","50619")</f>
        <v>50619</v>
      </c>
      <c r="B1078" s="1" t="s">
        <v>2637</v>
      </c>
      <c r="C1078" t="s">
        <v>2638</v>
      </c>
      <c r="D1078">
        <v>114.6</v>
      </c>
      <c r="E1078">
        <v>113</v>
      </c>
      <c r="F1078">
        <v>96.7</v>
      </c>
      <c r="G1078">
        <v>93.8</v>
      </c>
      <c r="H1078">
        <v>118.7</v>
      </c>
      <c r="I1078">
        <v>122.6</v>
      </c>
      <c r="J1078">
        <v>100</v>
      </c>
      <c r="K1078">
        <v>99.9</v>
      </c>
      <c r="L1078" s="1" t="s">
        <v>2637</v>
      </c>
      <c r="M1078" t="s">
        <v>502</v>
      </c>
      <c r="N1078">
        <v>2</v>
      </c>
    </row>
    <row r="1079" spans="1:14" x14ac:dyDescent="0.25">
      <c r="A1079" s="3" t="str">
        <f>HYPERLINK("http://www.ncbi.nlm.nih.gov/gene/8560","8560")</f>
        <v>8560</v>
      </c>
      <c r="B1079" s="1" t="s">
        <v>2639</v>
      </c>
      <c r="C1079" t="s">
        <v>2640</v>
      </c>
      <c r="D1079">
        <v>157.1</v>
      </c>
      <c r="E1079">
        <v>165.2</v>
      </c>
      <c r="F1079">
        <v>100</v>
      </c>
      <c r="G1079">
        <v>100</v>
      </c>
      <c r="H1079">
        <v>133.5</v>
      </c>
      <c r="I1079">
        <v>136.80000000000001</v>
      </c>
      <c r="J1079">
        <v>100</v>
      </c>
      <c r="K1079">
        <v>100</v>
      </c>
      <c r="L1079" s="1" t="s">
        <v>2639</v>
      </c>
      <c r="M1079" t="s">
        <v>38</v>
      </c>
      <c r="N1079">
        <v>4</v>
      </c>
    </row>
    <row r="1080" spans="1:14" x14ac:dyDescent="0.25">
      <c r="A1080" s="3" t="str">
        <f>HYPERLINK("http://www.ncbi.nlm.nih.gov/gene/23258","23258")</f>
        <v>23258</v>
      </c>
      <c r="B1080" s="1" t="s">
        <v>2641</v>
      </c>
      <c r="C1080" t="s">
        <v>2642</v>
      </c>
      <c r="D1080">
        <v>113.7</v>
      </c>
      <c r="E1080">
        <v>118.6</v>
      </c>
      <c r="F1080">
        <v>100</v>
      </c>
      <c r="G1080">
        <v>99.4</v>
      </c>
      <c r="H1080">
        <v>145.30000000000001</v>
      </c>
      <c r="I1080">
        <v>149.9</v>
      </c>
      <c r="J1080">
        <v>100</v>
      </c>
      <c r="K1080">
        <v>100</v>
      </c>
      <c r="L1080" s="1" t="s">
        <v>2641</v>
      </c>
      <c r="M1080" t="s">
        <v>1220</v>
      </c>
      <c r="N1080">
        <v>4</v>
      </c>
    </row>
    <row r="1081" spans="1:14" x14ac:dyDescent="0.25">
      <c r="A1081" s="3" t="str">
        <f>HYPERLINK("http://www.ncbi.nlm.nih.gov/gene/9681","9681")</f>
        <v>9681</v>
      </c>
      <c r="B1081" s="1" t="s">
        <v>2643</v>
      </c>
      <c r="C1081" t="s">
        <v>2644</v>
      </c>
      <c r="D1081">
        <v>140.5</v>
      </c>
      <c r="E1081">
        <v>145.19999999999999</v>
      </c>
      <c r="F1081">
        <v>100</v>
      </c>
      <c r="G1081">
        <v>99.8</v>
      </c>
      <c r="H1081">
        <v>138.6</v>
      </c>
      <c r="I1081">
        <v>142.4</v>
      </c>
      <c r="J1081">
        <v>100</v>
      </c>
      <c r="K1081">
        <v>100</v>
      </c>
      <c r="L1081" s="1" t="s">
        <v>2643</v>
      </c>
      <c r="M1081" t="s">
        <v>995</v>
      </c>
      <c r="N1081">
        <v>3</v>
      </c>
    </row>
    <row r="1082" spans="1:14" x14ac:dyDescent="0.25">
      <c r="A1082" s="3" t="str">
        <f>HYPERLINK("http://www.ncbi.nlm.nih.gov/gene/1674","1674")</f>
        <v>1674</v>
      </c>
      <c r="B1082" s="1" t="s">
        <v>2645</v>
      </c>
      <c r="C1082" t="s">
        <v>2646</v>
      </c>
      <c r="D1082">
        <v>115.9</v>
      </c>
      <c r="E1082">
        <v>119.2</v>
      </c>
      <c r="F1082">
        <v>100</v>
      </c>
      <c r="G1082">
        <v>99.7</v>
      </c>
      <c r="H1082">
        <v>136.1</v>
      </c>
      <c r="I1082">
        <v>139.5</v>
      </c>
      <c r="J1082">
        <v>100</v>
      </c>
      <c r="K1082">
        <v>100</v>
      </c>
      <c r="L1082" s="1" t="s">
        <v>2645</v>
      </c>
      <c r="M1082" t="s">
        <v>2647</v>
      </c>
      <c r="N1082">
        <v>5</v>
      </c>
    </row>
    <row r="1083" spans="1:14" x14ac:dyDescent="0.25">
      <c r="A1083" s="3" t="str">
        <f>HYPERLINK("http://www.ncbi.nlm.nih.gov/gene/8694","8694")</f>
        <v>8694</v>
      </c>
      <c r="B1083" s="1" t="s">
        <v>2648</v>
      </c>
      <c r="C1083" t="s">
        <v>2649</v>
      </c>
      <c r="D1083">
        <v>145</v>
      </c>
      <c r="E1083">
        <v>146.5</v>
      </c>
      <c r="F1083">
        <v>91.9</v>
      </c>
      <c r="G1083">
        <v>87.6</v>
      </c>
      <c r="H1083">
        <v>106.7</v>
      </c>
      <c r="I1083">
        <v>107.7</v>
      </c>
      <c r="J1083">
        <v>99.7</v>
      </c>
      <c r="K1083">
        <v>98.6</v>
      </c>
      <c r="L1083" s="1" t="s">
        <v>2648</v>
      </c>
      <c r="M1083" t="s">
        <v>116</v>
      </c>
      <c r="N1083">
        <v>3</v>
      </c>
    </row>
    <row r="1084" spans="1:14" x14ac:dyDescent="0.25">
      <c r="A1084" s="3" t="str">
        <f>HYPERLINK("http://www.ncbi.nlm.nih.gov/gene/84649","84649")</f>
        <v>84649</v>
      </c>
      <c r="B1084" s="1" t="s">
        <v>2650</v>
      </c>
      <c r="C1084" t="s">
        <v>2651</v>
      </c>
      <c r="D1084">
        <v>88</v>
      </c>
      <c r="E1084">
        <v>93.6</v>
      </c>
      <c r="F1084">
        <v>99.1</v>
      </c>
      <c r="G1084">
        <v>95.5</v>
      </c>
      <c r="H1084">
        <v>133</v>
      </c>
      <c r="I1084">
        <v>136.69999999999999</v>
      </c>
      <c r="J1084">
        <v>100</v>
      </c>
      <c r="K1084">
        <v>100</v>
      </c>
      <c r="L1084" s="1" t="s">
        <v>2650</v>
      </c>
      <c r="M1084" t="s">
        <v>718</v>
      </c>
      <c r="N1084">
        <v>2</v>
      </c>
    </row>
    <row r="1085" spans="1:14" x14ac:dyDescent="0.25">
      <c r="A1085" s="3" t="str">
        <f>HYPERLINK("http://www.ncbi.nlm.nih.gov/gene/8526","8526")</f>
        <v>8526</v>
      </c>
      <c r="B1085" s="1" t="s">
        <v>2652</v>
      </c>
      <c r="C1085" t="s">
        <v>2653</v>
      </c>
      <c r="D1085">
        <v>131.19999999999999</v>
      </c>
      <c r="E1085">
        <v>130.4</v>
      </c>
      <c r="F1085">
        <v>99.8</v>
      </c>
      <c r="G1085">
        <v>98.1</v>
      </c>
      <c r="H1085">
        <v>133.69999999999999</v>
      </c>
      <c r="I1085">
        <v>136.80000000000001</v>
      </c>
      <c r="J1085">
        <v>100</v>
      </c>
      <c r="K1085">
        <v>100</v>
      </c>
      <c r="L1085" s="1" t="s">
        <v>2652</v>
      </c>
      <c r="M1085" t="s">
        <v>2654</v>
      </c>
      <c r="N1085">
        <v>5</v>
      </c>
    </row>
    <row r="1086" spans="1:14" x14ac:dyDescent="0.25">
      <c r="A1086" s="3" t="str">
        <f>HYPERLINK("http://www.ncbi.nlm.nih.gov/gene/1716","1716")</f>
        <v>1716</v>
      </c>
      <c r="B1086" s="1" t="s">
        <v>2655</v>
      </c>
      <c r="C1086" t="s">
        <v>2656</v>
      </c>
      <c r="D1086">
        <v>121</v>
      </c>
      <c r="E1086">
        <v>124.5</v>
      </c>
      <c r="F1086">
        <v>100</v>
      </c>
      <c r="G1086">
        <v>99.4</v>
      </c>
      <c r="H1086">
        <v>125.8</v>
      </c>
      <c r="I1086">
        <v>129.4</v>
      </c>
      <c r="J1086">
        <v>100</v>
      </c>
      <c r="K1086">
        <v>100</v>
      </c>
      <c r="L1086" s="1" t="s">
        <v>2655</v>
      </c>
      <c r="M1086" t="s">
        <v>2657</v>
      </c>
      <c r="N1086">
        <v>6</v>
      </c>
    </row>
    <row r="1087" spans="1:14" x14ac:dyDescent="0.25">
      <c r="A1087" s="3" t="str">
        <f>HYPERLINK("http://www.ncbi.nlm.nih.gov/gene/1718","1718")</f>
        <v>1718</v>
      </c>
      <c r="B1087" s="1" t="s">
        <v>2658</v>
      </c>
      <c r="C1087" t="s">
        <v>2659</v>
      </c>
      <c r="D1087">
        <v>156.19999999999999</v>
      </c>
      <c r="E1087">
        <v>165.8</v>
      </c>
      <c r="F1087">
        <v>97.7</v>
      </c>
      <c r="G1087">
        <v>97.7</v>
      </c>
      <c r="H1087">
        <v>135.1</v>
      </c>
      <c r="I1087">
        <v>139.4</v>
      </c>
      <c r="J1087">
        <v>97.7</v>
      </c>
      <c r="K1087">
        <v>97.7</v>
      </c>
      <c r="L1087" s="1" t="s">
        <v>2658</v>
      </c>
      <c r="M1087" t="s">
        <v>2660</v>
      </c>
      <c r="N1087">
        <v>6</v>
      </c>
    </row>
    <row r="1088" spans="1:14" x14ac:dyDescent="0.25">
      <c r="A1088" s="3" t="str">
        <f>HYPERLINK("http://www.ncbi.nlm.nih.gov/gene/1717","1717")</f>
        <v>1717</v>
      </c>
      <c r="B1088" s="1" t="s">
        <v>2661</v>
      </c>
      <c r="C1088" t="s">
        <v>2662</v>
      </c>
      <c r="D1088">
        <v>146.5</v>
      </c>
      <c r="E1088">
        <v>152.1</v>
      </c>
      <c r="F1088">
        <v>100</v>
      </c>
      <c r="G1088">
        <v>100</v>
      </c>
      <c r="H1088">
        <v>138.1</v>
      </c>
      <c r="I1088">
        <v>137.9</v>
      </c>
      <c r="J1088">
        <v>100</v>
      </c>
      <c r="K1088">
        <v>100</v>
      </c>
      <c r="L1088" s="1" t="s">
        <v>2661</v>
      </c>
      <c r="M1088" t="s">
        <v>2663</v>
      </c>
      <c r="N1088">
        <v>9</v>
      </c>
    </row>
    <row r="1089" spans="1:14" x14ac:dyDescent="0.25">
      <c r="A1089" s="3" t="str">
        <f>HYPERLINK("http://www.ncbi.nlm.nih.gov/gene/79947","79947")</f>
        <v>79947</v>
      </c>
      <c r="B1089" s="1" t="s">
        <v>2664</v>
      </c>
      <c r="C1089" t="s">
        <v>2665</v>
      </c>
      <c r="D1089">
        <v>88.6</v>
      </c>
      <c r="E1089">
        <v>93.1</v>
      </c>
      <c r="F1089">
        <v>99</v>
      </c>
      <c r="G1089">
        <v>95</v>
      </c>
      <c r="H1089">
        <v>115.1</v>
      </c>
      <c r="I1089">
        <v>118.6</v>
      </c>
      <c r="J1089">
        <v>95.2</v>
      </c>
      <c r="K1089">
        <v>95.2</v>
      </c>
      <c r="L1089" s="1" t="s">
        <v>2664</v>
      </c>
      <c r="M1089" t="s">
        <v>2666</v>
      </c>
      <c r="N1089">
        <v>7</v>
      </c>
    </row>
    <row r="1090" spans="1:14" x14ac:dyDescent="0.25">
      <c r="A1090" s="3" t="str">
        <f>HYPERLINK("http://www.ncbi.nlm.nih.gov/gene/1719","1719")</f>
        <v>1719</v>
      </c>
      <c r="B1090" s="1" t="s">
        <v>2667</v>
      </c>
      <c r="C1090" t="s">
        <v>2668</v>
      </c>
      <c r="D1090">
        <v>51.1</v>
      </c>
      <c r="E1090">
        <v>51.8</v>
      </c>
      <c r="F1090">
        <v>92.1</v>
      </c>
      <c r="G1090">
        <v>78.900000000000006</v>
      </c>
      <c r="H1090">
        <v>123.6</v>
      </c>
      <c r="I1090">
        <v>126.5</v>
      </c>
      <c r="J1090">
        <v>100</v>
      </c>
      <c r="K1090">
        <v>100</v>
      </c>
      <c r="L1090" s="1" t="s">
        <v>2667</v>
      </c>
      <c r="M1090" t="s">
        <v>2669</v>
      </c>
      <c r="N1090">
        <v>6</v>
      </c>
    </row>
    <row r="1091" spans="1:14" x14ac:dyDescent="0.25">
      <c r="A1091" s="3" t="str">
        <f>HYPERLINK("http://www.ncbi.nlm.nih.gov/gene/50846","50846")</f>
        <v>50846</v>
      </c>
      <c r="B1091" s="1" t="s">
        <v>2670</v>
      </c>
      <c r="C1091" t="s">
        <v>2671</v>
      </c>
      <c r="D1091">
        <v>138.6</v>
      </c>
      <c r="E1091">
        <v>140.30000000000001</v>
      </c>
      <c r="F1091">
        <v>100</v>
      </c>
      <c r="G1091">
        <v>100</v>
      </c>
      <c r="H1091">
        <v>171.7</v>
      </c>
      <c r="I1091">
        <v>170.5</v>
      </c>
      <c r="J1091">
        <v>100</v>
      </c>
      <c r="K1091">
        <v>100</v>
      </c>
      <c r="L1091" s="1" t="s">
        <v>2670</v>
      </c>
      <c r="M1091" t="s">
        <v>1472</v>
      </c>
      <c r="N1091">
        <v>3</v>
      </c>
    </row>
    <row r="1092" spans="1:14" x14ac:dyDescent="0.25">
      <c r="A1092" s="3" t="str">
        <f>HYPERLINK("http://www.ncbi.nlm.nih.gov/gene/1723","1723")</f>
        <v>1723</v>
      </c>
      <c r="B1092" s="1" t="s">
        <v>2672</v>
      </c>
      <c r="C1092" t="s">
        <v>2673</v>
      </c>
      <c r="D1092">
        <v>107.5</v>
      </c>
      <c r="E1092">
        <v>112.7</v>
      </c>
      <c r="F1092">
        <v>100</v>
      </c>
      <c r="G1092">
        <v>100</v>
      </c>
      <c r="H1092">
        <v>130.69999999999999</v>
      </c>
      <c r="I1092">
        <v>134.1</v>
      </c>
      <c r="J1092">
        <v>100</v>
      </c>
      <c r="K1092">
        <v>100</v>
      </c>
      <c r="L1092" s="1" t="s">
        <v>2672</v>
      </c>
      <c r="M1092" t="s">
        <v>1212</v>
      </c>
      <c r="N1092">
        <v>6</v>
      </c>
    </row>
    <row r="1093" spans="1:14" x14ac:dyDescent="0.25">
      <c r="A1093" s="3" t="str">
        <f>HYPERLINK("http://www.ncbi.nlm.nih.gov/gene/1725","1725")</f>
        <v>1725</v>
      </c>
      <c r="B1093" s="1" t="s">
        <v>2674</v>
      </c>
      <c r="C1093" t="s">
        <v>2675</v>
      </c>
      <c r="D1093">
        <v>126.9</v>
      </c>
      <c r="E1093">
        <v>131.69999999999999</v>
      </c>
      <c r="F1093">
        <v>100</v>
      </c>
      <c r="G1093">
        <v>99.7</v>
      </c>
      <c r="H1093">
        <v>115.7</v>
      </c>
      <c r="I1093">
        <v>117.8</v>
      </c>
      <c r="J1093">
        <v>93.3</v>
      </c>
      <c r="K1093">
        <v>93.2</v>
      </c>
      <c r="L1093" s="1" t="s">
        <v>2674</v>
      </c>
      <c r="M1093" t="s">
        <v>228</v>
      </c>
      <c r="N1093">
        <v>3</v>
      </c>
    </row>
    <row r="1094" spans="1:14" x14ac:dyDescent="0.25">
      <c r="A1094" s="3" t="str">
        <f>HYPERLINK("http://www.ncbi.nlm.nih.gov/gene/55526","55526")</f>
        <v>55526</v>
      </c>
      <c r="B1094" s="1" t="s">
        <v>2676</v>
      </c>
      <c r="C1094" t="s">
        <v>2677</v>
      </c>
      <c r="D1094">
        <v>138.19999999999999</v>
      </c>
      <c r="E1094">
        <v>145.80000000000001</v>
      </c>
      <c r="F1094">
        <v>99.9</v>
      </c>
      <c r="G1094">
        <v>98.9</v>
      </c>
      <c r="H1094">
        <v>136.4</v>
      </c>
      <c r="I1094">
        <v>141.19999999999999</v>
      </c>
      <c r="J1094">
        <v>100</v>
      </c>
      <c r="K1094">
        <v>100</v>
      </c>
      <c r="L1094" s="1" t="s">
        <v>2676</v>
      </c>
      <c r="M1094" t="s">
        <v>2678</v>
      </c>
      <c r="N1094">
        <v>5</v>
      </c>
    </row>
    <row r="1095" spans="1:14" x14ac:dyDescent="0.25">
      <c r="A1095" s="3" t="str">
        <f>HYPERLINK("http://www.ncbi.nlm.nih.gov/gene/22907","22907")</f>
        <v>22907</v>
      </c>
      <c r="B1095" s="1" t="s">
        <v>2679</v>
      </c>
      <c r="C1095" t="s">
        <v>2680</v>
      </c>
      <c r="D1095">
        <v>162.6</v>
      </c>
      <c r="E1095">
        <v>163.6</v>
      </c>
      <c r="F1095">
        <v>100</v>
      </c>
      <c r="G1095">
        <v>99.9</v>
      </c>
      <c r="H1095">
        <v>134.6</v>
      </c>
      <c r="I1095">
        <v>137</v>
      </c>
      <c r="J1095">
        <v>100</v>
      </c>
      <c r="K1095">
        <v>100</v>
      </c>
      <c r="L1095" s="1" t="s">
        <v>2679</v>
      </c>
      <c r="M1095" t="s">
        <v>189</v>
      </c>
      <c r="N1095">
        <v>2</v>
      </c>
    </row>
    <row r="1096" spans="1:14" x14ac:dyDescent="0.25">
      <c r="A1096" s="3" t="str">
        <f>HYPERLINK("http://www.ncbi.nlm.nih.gov/gene/9785","9785")</f>
        <v>9785</v>
      </c>
      <c r="B1096" s="1" t="s">
        <v>2681</v>
      </c>
      <c r="C1096" t="s">
        <v>2682</v>
      </c>
      <c r="D1096">
        <v>117</v>
      </c>
      <c r="E1096">
        <v>120.3</v>
      </c>
      <c r="F1096">
        <v>100</v>
      </c>
      <c r="G1096">
        <v>99.3</v>
      </c>
      <c r="H1096">
        <v>130.6</v>
      </c>
      <c r="I1096">
        <v>134</v>
      </c>
      <c r="J1096">
        <v>100</v>
      </c>
      <c r="K1096">
        <v>100</v>
      </c>
      <c r="L1096" s="1" t="s">
        <v>2681</v>
      </c>
      <c r="M1096" t="s">
        <v>56</v>
      </c>
      <c r="N1096">
        <v>3</v>
      </c>
    </row>
    <row r="1097" spans="1:14" x14ac:dyDescent="0.25">
      <c r="A1097" s="3" t="str">
        <f>HYPERLINK("http://www.ncbi.nlm.nih.gov/gene/56616","56616")</f>
        <v>56616</v>
      </c>
      <c r="B1097" s="1" t="s">
        <v>2683</v>
      </c>
      <c r="C1097" t="s">
        <v>2684</v>
      </c>
      <c r="D1097">
        <v>203.7</v>
      </c>
      <c r="E1097">
        <v>209.6</v>
      </c>
      <c r="F1097">
        <v>100</v>
      </c>
      <c r="G1097">
        <v>99.9</v>
      </c>
      <c r="H1097">
        <v>138.9</v>
      </c>
      <c r="I1097">
        <v>143.1</v>
      </c>
      <c r="J1097">
        <v>100</v>
      </c>
      <c r="K1097">
        <v>100</v>
      </c>
      <c r="L1097" s="1" t="s">
        <v>2683</v>
      </c>
      <c r="M1097" t="s">
        <v>76</v>
      </c>
      <c r="N1097">
        <v>2</v>
      </c>
    </row>
    <row r="1098" spans="1:14" x14ac:dyDescent="0.25">
      <c r="A1098" s="3" t="str">
        <f>HYPERLINK("http://www.ncbi.nlm.nih.gov/gene/1729","1729")</f>
        <v>1729</v>
      </c>
      <c r="B1098" s="1" t="s">
        <v>2685</v>
      </c>
      <c r="C1098" t="s">
        <v>2686</v>
      </c>
      <c r="D1098">
        <v>116.2</v>
      </c>
      <c r="E1098">
        <v>119.5</v>
      </c>
      <c r="F1098">
        <v>99.8</v>
      </c>
      <c r="G1098">
        <v>99</v>
      </c>
      <c r="H1098">
        <v>128.4</v>
      </c>
      <c r="I1098">
        <v>131.19999999999999</v>
      </c>
      <c r="J1098">
        <v>99.5</v>
      </c>
      <c r="K1098">
        <v>98</v>
      </c>
      <c r="L1098" s="1" t="s">
        <v>2685</v>
      </c>
      <c r="M1098" t="s">
        <v>2687</v>
      </c>
      <c r="N1098">
        <v>6</v>
      </c>
    </row>
    <row r="1099" spans="1:14" x14ac:dyDescent="0.25">
      <c r="A1099" s="3" t="str">
        <f>HYPERLINK("http://www.ncbi.nlm.nih.gov/gene/1730","1730")</f>
        <v>1730</v>
      </c>
      <c r="B1099" s="1" t="s">
        <v>2688</v>
      </c>
      <c r="C1099" t="s">
        <v>2689</v>
      </c>
      <c r="D1099">
        <v>74.599999999999994</v>
      </c>
      <c r="E1099">
        <v>77.3</v>
      </c>
      <c r="F1099">
        <v>95.9</v>
      </c>
      <c r="G1099">
        <v>87.6</v>
      </c>
      <c r="H1099">
        <v>98.1</v>
      </c>
      <c r="I1099">
        <v>100.6</v>
      </c>
      <c r="J1099">
        <v>99.9</v>
      </c>
      <c r="K1099">
        <v>99</v>
      </c>
      <c r="L1099" s="1" t="s">
        <v>2688</v>
      </c>
      <c r="M1099" t="s">
        <v>291</v>
      </c>
      <c r="N1099">
        <v>1</v>
      </c>
    </row>
    <row r="1100" spans="1:14" x14ac:dyDescent="0.25">
      <c r="A1100" s="3" t="str">
        <f>HYPERLINK("http://www.ncbi.nlm.nih.gov/gene/81624","81624")</f>
        <v>81624</v>
      </c>
      <c r="B1100" s="1" t="s">
        <v>2690</v>
      </c>
      <c r="C1100" t="s">
        <v>2691</v>
      </c>
      <c r="D1100">
        <v>93.6</v>
      </c>
      <c r="E1100">
        <v>96.5</v>
      </c>
      <c r="F1100">
        <v>99.6</v>
      </c>
      <c r="G1100">
        <v>97</v>
      </c>
      <c r="H1100">
        <v>125.4</v>
      </c>
      <c r="I1100">
        <v>129.30000000000001</v>
      </c>
      <c r="J1100">
        <v>100</v>
      </c>
      <c r="K1100">
        <v>100</v>
      </c>
      <c r="L1100" s="1" t="s">
        <v>2690</v>
      </c>
      <c r="M1100" t="s">
        <v>76</v>
      </c>
      <c r="N1100">
        <v>2</v>
      </c>
    </row>
    <row r="1101" spans="1:14" x14ac:dyDescent="0.25">
      <c r="A1101" s="3" t="str">
        <f>HYPERLINK("http://www.ncbi.nlm.nih.gov/gene/23405","23405")</f>
        <v>23405</v>
      </c>
      <c r="B1101" s="1" t="s">
        <v>2692</v>
      </c>
      <c r="C1101" t="s">
        <v>2693</v>
      </c>
      <c r="D1101">
        <v>172.3</v>
      </c>
      <c r="E1101">
        <v>179.1</v>
      </c>
      <c r="F1101">
        <v>99.8</v>
      </c>
      <c r="G1101">
        <v>99</v>
      </c>
      <c r="H1101">
        <v>130.80000000000001</v>
      </c>
      <c r="I1101">
        <v>134.30000000000001</v>
      </c>
      <c r="J1101">
        <v>100</v>
      </c>
      <c r="K1101">
        <v>100</v>
      </c>
      <c r="L1101" s="1" t="s">
        <v>2692</v>
      </c>
      <c r="M1101" t="s">
        <v>2625</v>
      </c>
      <c r="N1101">
        <v>3</v>
      </c>
    </row>
    <row r="1102" spans="1:14" x14ac:dyDescent="0.25">
      <c r="A1102" s="3" t="str">
        <f>HYPERLINK("http://www.ncbi.nlm.nih.gov/gene/57609","57609")</f>
        <v>57609</v>
      </c>
      <c r="B1102" s="1" t="s">
        <v>2694</v>
      </c>
      <c r="D1102">
        <v>150.5</v>
      </c>
      <c r="E1102">
        <v>155.4</v>
      </c>
      <c r="F1102">
        <v>100</v>
      </c>
      <c r="G1102">
        <v>99.3</v>
      </c>
      <c r="H1102">
        <v>131.30000000000001</v>
      </c>
      <c r="I1102">
        <v>135</v>
      </c>
      <c r="J1102">
        <v>100</v>
      </c>
      <c r="K1102">
        <v>100</v>
      </c>
      <c r="L1102" s="1" t="s">
        <v>2694</v>
      </c>
      <c r="M1102" t="s">
        <v>189</v>
      </c>
      <c r="N1102">
        <v>2</v>
      </c>
    </row>
    <row r="1103" spans="1:14" x14ac:dyDescent="0.25">
      <c r="A1103" s="3" t="str">
        <f>HYPERLINK("http://www.ncbi.nlm.nih.gov/gene/129563","129563")</f>
        <v>129563</v>
      </c>
      <c r="B1103" s="1" t="s">
        <v>2695</v>
      </c>
      <c r="C1103" t="s">
        <v>2696</v>
      </c>
      <c r="D1103">
        <v>159.1</v>
      </c>
      <c r="E1103">
        <v>164.4</v>
      </c>
      <c r="F1103">
        <v>100</v>
      </c>
      <c r="G1103">
        <v>99.8</v>
      </c>
      <c r="H1103">
        <v>130.80000000000001</v>
      </c>
      <c r="I1103">
        <v>134.6</v>
      </c>
      <c r="J1103">
        <v>100</v>
      </c>
      <c r="K1103">
        <v>100</v>
      </c>
      <c r="L1103" s="1" t="s">
        <v>2695</v>
      </c>
      <c r="M1103" t="s">
        <v>2619</v>
      </c>
      <c r="N1103">
        <v>4</v>
      </c>
    </row>
    <row r="1104" spans="1:14" x14ac:dyDescent="0.25">
      <c r="A1104" s="3" t="str">
        <f>HYPERLINK("http://www.ncbi.nlm.nih.gov/gene/84976","84976")</f>
        <v>84976</v>
      </c>
      <c r="B1104" s="1" t="s">
        <v>2697</v>
      </c>
      <c r="C1104" t="s">
        <v>2698</v>
      </c>
      <c r="D1104">
        <v>193.6</v>
      </c>
      <c r="E1104">
        <v>190.7</v>
      </c>
      <c r="F1104">
        <v>100</v>
      </c>
      <c r="G1104">
        <v>99.9</v>
      </c>
      <c r="H1104">
        <v>151.80000000000001</v>
      </c>
      <c r="I1104">
        <v>153.1</v>
      </c>
      <c r="J1104">
        <v>100</v>
      </c>
      <c r="K1104">
        <v>100</v>
      </c>
      <c r="L1104" s="1" t="s">
        <v>2697</v>
      </c>
      <c r="M1104" t="s">
        <v>554</v>
      </c>
      <c r="N1104">
        <v>2</v>
      </c>
    </row>
    <row r="1105" spans="1:14" x14ac:dyDescent="0.25">
      <c r="A1105" s="3" t="str">
        <f>HYPERLINK("http://www.ncbi.nlm.nih.gov/gene/1736","1736")</f>
        <v>1736</v>
      </c>
      <c r="B1105" s="1" t="s">
        <v>2699</v>
      </c>
      <c r="C1105" t="s">
        <v>2700</v>
      </c>
      <c r="D1105">
        <v>106.9</v>
      </c>
      <c r="E1105">
        <v>108.6</v>
      </c>
      <c r="F1105">
        <v>99.8</v>
      </c>
      <c r="G1105">
        <v>98.7</v>
      </c>
      <c r="H1105">
        <v>112.9</v>
      </c>
      <c r="I1105">
        <v>116</v>
      </c>
      <c r="J1105">
        <v>100</v>
      </c>
      <c r="K1105">
        <v>99.7</v>
      </c>
      <c r="L1105" s="1" t="s">
        <v>2699</v>
      </c>
      <c r="M1105" t="s">
        <v>2701</v>
      </c>
      <c r="N1105">
        <v>9</v>
      </c>
    </row>
    <row r="1106" spans="1:14" x14ac:dyDescent="0.25">
      <c r="A1106" s="3" t="str">
        <f>HYPERLINK("http://www.ncbi.nlm.nih.gov/gene/1737","1737")</f>
        <v>1737</v>
      </c>
      <c r="B1106" s="1" t="s">
        <v>2702</v>
      </c>
      <c r="C1106" t="s">
        <v>2703</v>
      </c>
      <c r="D1106">
        <v>107.6</v>
      </c>
      <c r="E1106">
        <v>111.4</v>
      </c>
      <c r="F1106">
        <v>100</v>
      </c>
      <c r="G1106">
        <v>99.7</v>
      </c>
      <c r="H1106">
        <v>131.80000000000001</v>
      </c>
      <c r="I1106">
        <v>135.4</v>
      </c>
      <c r="J1106">
        <v>100</v>
      </c>
      <c r="K1106">
        <v>100</v>
      </c>
      <c r="L1106" s="1" t="s">
        <v>2702</v>
      </c>
      <c r="M1106" t="s">
        <v>2704</v>
      </c>
      <c r="N1106">
        <v>5</v>
      </c>
    </row>
    <row r="1107" spans="1:14" x14ac:dyDescent="0.25">
      <c r="A1107" s="3" t="str">
        <f>HYPERLINK("http://www.ncbi.nlm.nih.gov/gene/10395","10395")</f>
        <v>10395</v>
      </c>
      <c r="B1107" s="1" t="s">
        <v>2705</v>
      </c>
      <c r="C1107" t="s">
        <v>2706</v>
      </c>
      <c r="D1107">
        <v>183.3</v>
      </c>
      <c r="E1107">
        <v>186.3</v>
      </c>
      <c r="F1107">
        <v>100</v>
      </c>
      <c r="G1107">
        <v>99.9</v>
      </c>
      <c r="H1107">
        <v>149.6</v>
      </c>
      <c r="I1107">
        <v>151.30000000000001</v>
      </c>
      <c r="J1107">
        <v>100</v>
      </c>
      <c r="K1107">
        <v>100</v>
      </c>
      <c r="L1107" s="1" t="s">
        <v>2705</v>
      </c>
      <c r="M1107" t="s">
        <v>22</v>
      </c>
      <c r="N1107">
        <v>1</v>
      </c>
    </row>
    <row r="1108" spans="1:14" x14ac:dyDescent="0.25">
      <c r="A1108" s="3" t="str">
        <f>HYPERLINK("http://www.ncbi.nlm.nih.gov/gene/1738","1738")</f>
        <v>1738</v>
      </c>
      <c r="B1108" s="1" t="s">
        <v>2707</v>
      </c>
      <c r="C1108" t="s">
        <v>2708</v>
      </c>
      <c r="D1108">
        <v>131.5</v>
      </c>
      <c r="E1108">
        <v>135.6</v>
      </c>
      <c r="F1108">
        <v>100</v>
      </c>
      <c r="G1108">
        <v>99.7</v>
      </c>
      <c r="H1108">
        <v>122.8</v>
      </c>
      <c r="I1108">
        <v>125.8</v>
      </c>
      <c r="J1108">
        <v>100</v>
      </c>
      <c r="K1108">
        <v>100</v>
      </c>
      <c r="L1108" s="1" t="s">
        <v>2707</v>
      </c>
      <c r="M1108" t="s">
        <v>2709</v>
      </c>
      <c r="N1108">
        <v>6</v>
      </c>
    </row>
    <row r="1109" spans="1:14" x14ac:dyDescent="0.25">
      <c r="A1109" s="3" t="str">
        <f>HYPERLINK("http://www.ncbi.nlm.nih.gov/gene/1741","1741")</f>
        <v>1741</v>
      </c>
      <c r="B1109" s="1" t="s">
        <v>2710</v>
      </c>
      <c r="C1109" t="s">
        <v>2711</v>
      </c>
      <c r="D1109">
        <v>84.3</v>
      </c>
      <c r="E1109">
        <v>86.3</v>
      </c>
      <c r="F1109">
        <v>99.1</v>
      </c>
      <c r="G1109">
        <v>93.2</v>
      </c>
      <c r="H1109">
        <v>132.6</v>
      </c>
      <c r="I1109">
        <v>136.30000000000001</v>
      </c>
      <c r="J1109">
        <v>100</v>
      </c>
      <c r="K1109">
        <v>100</v>
      </c>
      <c r="L1109" s="1" t="s">
        <v>2710</v>
      </c>
      <c r="M1109" t="s">
        <v>1240</v>
      </c>
      <c r="N1109">
        <v>2</v>
      </c>
    </row>
    <row r="1110" spans="1:14" x14ac:dyDescent="0.25">
      <c r="A1110" s="3" t="str">
        <f>HYPERLINK("http://www.ncbi.nlm.nih.gov/gene/1742","1742")</f>
        <v>1742</v>
      </c>
      <c r="B1110" s="1" t="s">
        <v>2712</v>
      </c>
      <c r="C1110" t="s">
        <v>2713</v>
      </c>
      <c r="D1110">
        <v>159.6</v>
      </c>
      <c r="E1110">
        <v>165.6</v>
      </c>
      <c r="F1110">
        <v>99.1</v>
      </c>
      <c r="G1110">
        <v>99</v>
      </c>
      <c r="H1110">
        <v>144.69999999999999</v>
      </c>
      <c r="I1110">
        <v>148.80000000000001</v>
      </c>
      <c r="J1110">
        <v>98.8</v>
      </c>
      <c r="K1110">
        <v>98.8</v>
      </c>
      <c r="L1110" s="1" t="s">
        <v>2712</v>
      </c>
      <c r="M1110" t="s">
        <v>2714</v>
      </c>
      <c r="N1110">
        <v>3</v>
      </c>
    </row>
    <row r="1111" spans="1:14" x14ac:dyDescent="0.25">
      <c r="A1111" s="3" t="str">
        <f>HYPERLINK("http://www.ncbi.nlm.nih.gov/gene/10683","10683")</f>
        <v>10683</v>
      </c>
      <c r="B1111" s="1" t="s">
        <v>2715</v>
      </c>
      <c r="C1111" t="s">
        <v>2716</v>
      </c>
      <c r="D1111">
        <v>87.6</v>
      </c>
      <c r="E1111">
        <v>83.9</v>
      </c>
      <c r="F1111">
        <v>92.1</v>
      </c>
      <c r="G1111">
        <v>87</v>
      </c>
      <c r="H1111">
        <v>116</v>
      </c>
      <c r="I1111">
        <v>115.7</v>
      </c>
      <c r="J1111">
        <v>100</v>
      </c>
      <c r="K1111">
        <v>99.1</v>
      </c>
      <c r="L1111" s="1" t="s">
        <v>2715</v>
      </c>
      <c r="M1111" t="s">
        <v>1168</v>
      </c>
      <c r="N1111">
        <v>3</v>
      </c>
    </row>
    <row r="1112" spans="1:14" x14ac:dyDescent="0.25">
      <c r="A1112" s="3" t="str">
        <f>HYPERLINK("http://www.ncbi.nlm.nih.gov/gene/54567","54567")</f>
        <v>54567</v>
      </c>
      <c r="B1112" s="1" t="s">
        <v>2717</v>
      </c>
      <c r="C1112" t="s">
        <v>2718</v>
      </c>
      <c r="D1112">
        <v>171.7</v>
      </c>
      <c r="E1112">
        <v>178.9</v>
      </c>
      <c r="F1112">
        <v>100</v>
      </c>
      <c r="G1112">
        <v>99.2</v>
      </c>
      <c r="H1112">
        <v>155.6</v>
      </c>
      <c r="I1112">
        <v>158.9</v>
      </c>
      <c r="J1112">
        <v>100</v>
      </c>
      <c r="K1112">
        <v>100</v>
      </c>
      <c r="L1112" s="1" t="s">
        <v>2717</v>
      </c>
      <c r="M1112" t="s">
        <v>2719</v>
      </c>
      <c r="N1112">
        <v>3</v>
      </c>
    </row>
    <row r="1113" spans="1:14" x14ac:dyDescent="0.25">
      <c r="A1113" s="3" t="str">
        <f>HYPERLINK("http://www.ncbi.nlm.nih.gov/gene/1743","1743")</f>
        <v>1743</v>
      </c>
      <c r="B1113" s="1" t="s">
        <v>2720</v>
      </c>
      <c r="C1113" t="s">
        <v>2721</v>
      </c>
      <c r="D1113">
        <v>94</v>
      </c>
      <c r="E1113">
        <v>97.1</v>
      </c>
      <c r="F1113">
        <v>96.7</v>
      </c>
      <c r="G1113">
        <v>90.3</v>
      </c>
      <c r="H1113">
        <v>135.1</v>
      </c>
      <c r="I1113">
        <v>137.9</v>
      </c>
      <c r="J1113">
        <v>100</v>
      </c>
      <c r="K1113">
        <v>100</v>
      </c>
      <c r="L1113" s="1" t="s">
        <v>2720</v>
      </c>
      <c r="M1113" t="s">
        <v>2722</v>
      </c>
      <c r="N1113">
        <v>3</v>
      </c>
    </row>
    <row r="1114" spans="1:14" x14ac:dyDescent="0.25">
      <c r="A1114" s="3" t="str">
        <f>HYPERLINK("http://www.ncbi.nlm.nih.gov/gene/1747","1747")</f>
        <v>1747</v>
      </c>
      <c r="B1114" s="1" t="s">
        <v>2723</v>
      </c>
      <c r="C1114" t="s">
        <v>2724</v>
      </c>
      <c r="D1114">
        <v>122.9</v>
      </c>
      <c r="E1114">
        <v>135</v>
      </c>
      <c r="F1114">
        <v>99.9</v>
      </c>
      <c r="G1114">
        <v>98.4</v>
      </c>
      <c r="H1114">
        <v>150.6</v>
      </c>
      <c r="I1114">
        <v>156.1</v>
      </c>
      <c r="J1114">
        <v>100</v>
      </c>
      <c r="K1114">
        <v>100</v>
      </c>
      <c r="L1114" s="1" t="s">
        <v>2723</v>
      </c>
      <c r="M1114" t="s">
        <v>2725</v>
      </c>
      <c r="N1114">
        <v>4</v>
      </c>
    </row>
    <row r="1115" spans="1:14" x14ac:dyDescent="0.25">
      <c r="A1115" s="3" t="str">
        <f>HYPERLINK("http://www.ncbi.nlm.nih.gov/gene/1748","1748")</f>
        <v>1748</v>
      </c>
      <c r="B1115" s="1" t="s">
        <v>2726</v>
      </c>
      <c r="C1115" t="s">
        <v>2727</v>
      </c>
      <c r="D1115">
        <v>251.4</v>
      </c>
      <c r="E1115">
        <v>258.2</v>
      </c>
      <c r="F1115">
        <v>100</v>
      </c>
      <c r="G1115">
        <v>100</v>
      </c>
      <c r="H1115">
        <v>173</v>
      </c>
      <c r="I1115">
        <v>175.3</v>
      </c>
      <c r="J1115">
        <v>100</v>
      </c>
      <c r="K1115">
        <v>100</v>
      </c>
      <c r="L1115" s="1" t="s">
        <v>2726</v>
      </c>
      <c r="M1115" t="s">
        <v>554</v>
      </c>
      <c r="N1115">
        <v>2</v>
      </c>
    </row>
    <row r="1116" spans="1:14" x14ac:dyDescent="0.25">
      <c r="A1116" s="3" t="str">
        <f>HYPERLINK("http://www.ncbi.nlm.nih.gov/gene/1749","1749")</f>
        <v>1749</v>
      </c>
      <c r="B1116" s="1" t="s">
        <v>2728</v>
      </c>
      <c r="C1116" t="s">
        <v>2729</v>
      </c>
      <c r="D1116">
        <v>136.80000000000001</v>
      </c>
      <c r="E1116">
        <v>143.1</v>
      </c>
      <c r="F1116">
        <v>100</v>
      </c>
      <c r="G1116">
        <v>99.9</v>
      </c>
      <c r="H1116">
        <v>155</v>
      </c>
      <c r="I1116">
        <v>160.5</v>
      </c>
      <c r="J1116">
        <v>100</v>
      </c>
      <c r="K1116">
        <v>100</v>
      </c>
      <c r="L1116" s="1" t="s">
        <v>2728</v>
      </c>
      <c r="M1116" t="s">
        <v>2730</v>
      </c>
      <c r="N1116">
        <v>5</v>
      </c>
    </row>
    <row r="1117" spans="1:14" x14ac:dyDescent="0.25">
      <c r="A1117" s="3" t="str">
        <f>HYPERLINK("http://www.ncbi.nlm.nih.gov/gene/1750","1750")</f>
        <v>1750</v>
      </c>
      <c r="B1117" s="1" t="s">
        <v>2731</v>
      </c>
      <c r="D1117">
        <v>157.6</v>
      </c>
      <c r="E1117">
        <v>150.19999999999999</v>
      </c>
      <c r="F1117">
        <v>100</v>
      </c>
      <c r="G1117">
        <v>100</v>
      </c>
      <c r="H1117">
        <v>153</v>
      </c>
      <c r="I1117">
        <v>155</v>
      </c>
      <c r="J1117">
        <v>100</v>
      </c>
      <c r="K1117">
        <v>100</v>
      </c>
      <c r="L1117" s="1" t="s">
        <v>2731</v>
      </c>
      <c r="M1117" t="s">
        <v>1253</v>
      </c>
      <c r="N1117">
        <v>2</v>
      </c>
    </row>
    <row r="1118" spans="1:14" x14ac:dyDescent="0.25">
      <c r="A1118" s="3" t="str">
        <f>HYPERLINK("http://www.ncbi.nlm.nih.gov/gene/90871","90871")</f>
        <v>90871</v>
      </c>
      <c r="B1118" s="1" t="s">
        <v>2732</v>
      </c>
      <c r="C1118" t="s">
        <v>2733</v>
      </c>
      <c r="D1118">
        <v>64.7</v>
      </c>
      <c r="E1118">
        <v>64.099999999999994</v>
      </c>
      <c r="F1118">
        <v>100</v>
      </c>
      <c r="G1118">
        <v>100</v>
      </c>
      <c r="H1118">
        <v>208.4</v>
      </c>
      <c r="I1118">
        <v>214.5</v>
      </c>
      <c r="J1118">
        <v>100</v>
      </c>
      <c r="K1118">
        <v>100</v>
      </c>
      <c r="L1118" s="1" t="s">
        <v>2732</v>
      </c>
      <c r="M1118" t="s">
        <v>265</v>
      </c>
      <c r="N1118">
        <v>2</v>
      </c>
    </row>
    <row r="1119" spans="1:14" x14ac:dyDescent="0.25">
      <c r="A1119" s="3" t="str">
        <f>HYPERLINK("http://www.ncbi.nlm.nih.gov/gene/55101","55101")</f>
        <v>55101</v>
      </c>
      <c r="B1119" s="1" t="s">
        <v>2734</v>
      </c>
      <c r="C1119" t="s">
        <v>2735</v>
      </c>
      <c r="D1119">
        <v>134.5</v>
      </c>
      <c r="E1119">
        <v>143.6</v>
      </c>
      <c r="F1119">
        <v>98.3</v>
      </c>
      <c r="G1119">
        <v>98.3</v>
      </c>
      <c r="H1119">
        <v>154.30000000000001</v>
      </c>
      <c r="I1119">
        <v>158.9</v>
      </c>
      <c r="J1119">
        <v>100</v>
      </c>
      <c r="K1119">
        <v>100</v>
      </c>
      <c r="L1119" s="1" t="s">
        <v>2734</v>
      </c>
      <c r="M1119" t="s">
        <v>265</v>
      </c>
      <c r="N1119">
        <v>2</v>
      </c>
    </row>
    <row r="1120" spans="1:14" x14ac:dyDescent="0.25">
      <c r="A1120" s="3" t="str">
        <f>HYPERLINK("http://www.ncbi.nlm.nih.gov/gene/27109","27109")</f>
        <v>27109</v>
      </c>
      <c r="B1120" s="1" t="s">
        <v>2736</v>
      </c>
      <c r="C1120" t="s">
        <v>2737</v>
      </c>
      <c r="D1120">
        <v>115</v>
      </c>
      <c r="E1120">
        <v>117.5</v>
      </c>
      <c r="F1120">
        <v>100</v>
      </c>
      <c r="G1120">
        <v>100</v>
      </c>
      <c r="H1120">
        <v>114.9</v>
      </c>
      <c r="I1120">
        <v>117.1</v>
      </c>
      <c r="J1120">
        <v>100</v>
      </c>
      <c r="K1120">
        <v>100</v>
      </c>
      <c r="L1120" s="1" t="s">
        <v>2736</v>
      </c>
      <c r="M1120" t="s">
        <v>265</v>
      </c>
      <c r="N1120">
        <v>2</v>
      </c>
    </row>
    <row r="1121" spans="1:14" x14ac:dyDescent="0.25">
      <c r="A1121" s="3" t="str">
        <f>HYPERLINK("http://www.ncbi.nlm.nih.gov/gene/1756","1756")</f>
        <v>1756</v>
      </c>
      <c r="B1121" s="1" t="s">
        <v>2738</v>
      </c>
      <c r="C1121" t="s">
        <v>2739</v>
      </c>
      <c r="D1121">
        <v>128.1</v>
      </c>
      <c r="E1121">
        <v>133.1</v>
      </c>
      <c r="F1121">
        <v>99.6</v>
      </c>
      <c r="G1121">
        <v>98.6</v>
      </c>
      <c r="H1121">
        <v>124.4</v>
      </c>
      <c r="I1121">
        <v>128.19999999999999</v>
      </c>
      <c r="J1121">
        <v>100</v>
      </c>
      <c r="K1121">
        <v>100</v>
      </c>
      <c r="L1121" s="1" t="s">
        <v>2738</v>
      </c>
      <c r="M1121" t="s">
        <v>2740</v>
      </c>
      <c r="N1121">
        <v>4</v>
      </c>
    </row>
    <row r="1122" spans="1:14" x14ac:dyDescent="0.25">
      <c r="A1122" s="3" t="str">
        <f>HYPERLINK("http://www.ncbi.nlm.nih.gov/gene/29958","29958")</f>
        <v>29958</v>
      </c>
      <c r="B1122" s="1" t="s">
        <v>2741</v>
      </c>
      <c r="C1122" t="s">
        <v>2742</v>
      </c>
      <c r="D1122">
        <v>161.5</v>
      </c>
      <c r="E1122">
        <v>171.4</v>
      </c>
      <c r="F1122">
        <v>100</v>
      </c>
      <c r="G1122">
        <v>99.7</v>
      </c>
      <c r="H1122">
        <v>141.9</v>
      </c>
      <c r="I1122">
        <v>146.1</v>
      </c>
      <c r="J1122">
        <v>100</v>
      </c>
      <c r="K1122">
        <v>100</v>
      </c>
      <c r="L1122" s="1" t="s">
        <v>2741</v>
      </c>
      <c r="M1122" t="s">
        <v>116</v>
      </c>
      <c r="N1122">
        <v>3</v>
      </c>
    </row>
    <row r="1123" spans="1:14" x14ac:dyDescent="0.25">
      <c r="A1123" s="3" t="str">
        <f>HYPERLINK("http://www.ncbi.nlm.nih.gov/gene/1758","1758")</f>
        <v>1758</v>
      </c>
      <c r="B1123" s="1" t="s">
        <v>2743</v>
      </c>
      <c r="C1123" t="s">
        <v>2744</v>
      </c>
      <c r="D1123">
        <v>143</v>
      </c>
      <c r="E1123">
        <v>138.6</v>
      </c>
      <c r="F1123">
        <v>100</v>
      </c>
      <c r="G1123">
        <v>99.9</v>
      </c>
      <c r="H1123">
        <v>147.6</v>
      </c>
      <c r="I1123">
        <v>148.30000000000001</v>
      </c>
      <c r="J1123">
        <v>100</v>
      </c>
      <c r="K1123">
        <v>100</v>
      </c>
      <c r="L1123" s="1" t="s">
        <v>2743</v>
      </c>
      <c r="M1123" t="s">
        <v>2745</v>
      </c>
      <c r="N1123">
        <v>4</v>
      </c>
    </row>
    <row r="1124" spans="1:14" x14ac:dyDescent="0.25">
      <c r="A1124" s="3" t="str">
        <f>HYPERLINK("http://www.ncbi.nlm.nih.gov/gene/1760","1760")</f>
        <v>1760</v>
      </c>
      <c r="B1124" s="1" t="s">
        <v>2746</v>
      </c>
      <c r="C1124" t="s">
        <v>2747</v>
      </c>
      <c r="D1124">
        <v>148.69999999999999</v>
      </c>
      <c r="E1124">
        <v>158.69999999999999</v>
      </c>
      <c r="F1124">
        <v>99.8</v>
      </c>
      <c r="G1124">
        <v>98.4</v>
      </c>
      <c r="H1124">
        <v>152.69999999999999</v>
      </c>
      <c r="I1124">
        <v>156.9</v>
      </c>
      <c r="J1124">
        <v>100</v>
      </c>
      <c r="K1124">
        <v>100</v>
      </c>
      <c r="L1124" s="1" t="s">
        <v>2746</v>
      </c>
      <c r="M1124" t="s">
        <v>189</v>
      </c>
      <c r="N1124">
        <v>2</v>
      </c>
    </row>
    <row r="1125" spans="1:14" x14ac:dyDescent="0.25">
      <c r="A1125" s="3" t="str">
        <f>HYPERLINK("http://www.ncbi.nlm.nih.gov/gene/1761","1761")</f>
        <v>1761</v>
      </c>
      <c r="B1125" s="1" t="s">
        <v>2748</v>
      </c>
      <c r="C1125" t="s">
        <v>2749</v>
      </c>
      <c r="D1125">
        <v>100.2</v>
      </c>
      <c r="E1125">
        <v>108</v>
      </c>
      <c r="F1125">
        <v>100</v>
      </c>
      <c r="G1125">
        <v>99.8</v>
      </c>
      <c r="H1125">
        <v>158.80000000000001</v>
      </c>
      <c r="I1125">
        <v>162.4</v>
      </c>
      <c r="J1125">
        <v>100</v>
      </c>
      <c r="K1125">
        <v>100</v>
      </c>
      <c r="L1125" s="1" t="s">
        <v>2748</v>
      </c>
      <c r="M1125" t="s">
        <v>840</v>
      </c>
      <c r="N1125">
        <v>2</v>
      </c>
    </row>
    <row r="1126" spans="1:14" x14ac:dyDescent="0.25">
      <c r="A1126" s="3" t="str">
        <f>HYPERLINK("http://www.ncbi.nlm.nih.gov/gene/10655","10655")</f>
        <v>10655</v>
      </c>
      <c r="B1126" s="1" t="s">
        <v>2750</v>
      </c>
      <c r="C1126" t="s">
        <v>2751</v>
      </c>
      <c r="D1126">
        <v>147.9</v>
      </c>
      <c r="E1126">
        <v>158.9</v>
      </c>
      <c r="F1126">
        <v>97.7</v>
      </c>
      <c r="G1126">
        <v>88.4</v>
      </c>
      <c r="H1126">
        <v>143</v>
      </c>
      <c r="I1126">
        <v>143.4</v>
      </c>
      <c r="J1126">
        <v>100</v>
      </c>
      <c r="K1126">
        <v>100</v>
      </c>
      <c r="L1126" s="1" t="s">
        <v>2750</v>
      </c>
      <c r="M1126" t="s">
        <v>840</v>
      </c>
      <c r="N1126">
        <v>2</v>
      </c>
    </row>
    <row r="1127" spans="1:14" x14ac:dyDescent="0.25">
      <c r="A1127" s="3" t="str">
        <f>HYPERLINK("http://www.ncbi.nlm.nih.gov/gene/23312","23312")</f>
        <v>23312</v>
      </c>
      <c r="B1127" s="1" t="s">
        <v>2752</v>
      </c>
      <c r="C1127" t="s">
        <v>2753</v>
      </c>
      <c r="D1127">
        <v>180.3</v>
      </c>
      <c r="E1127">
        <v>183.8</v>
      </c>
      <c r="F1127">
        <v>99.9</v>
      </c>
      <c r="G1127">
        <v>99.1</v>
      </c>
      <c r="H1127">
        <v>137.5</v>
      </c>
      <c r="I1127">
        <v>139.9</v>
      </c>
      <c r="J1127">
        <v>100</v>
      </c>
      <c r="K1127">
        <v>100</v>
      </c>
      <c r="L1127" s="1" t="s">
        <v>2752</v>
      </c>
      <c r="M1127" t="s">
        <v>2754</v>
      </c>
      <c r="N1127">
        <v>4</v>
      </c>
    </row>
    <row r="1128" spans="1:14" x14ac:dyDescent="0.25">
      <c r="A1128" s="3" t="str">
        <f>HYPERLINK("http://www.ncbi.nlm.nih.gov/gene/1763","1763")</f>
        <v>1763</v>
      </c>
      <c r="B1128" s="1" t="s">
        <v>2755</v>
      </c>
      <c r="C1128" t="s">
        <v>2756</v>
      </c>
      <c r="D1128">
        <v>148.19999999999999</v>
      </c>
      <c r="E1128">
        <v>155</v>
      </c>
      <c r="F1128">
        <v>99.8</v>
      </c>
      <c r="G1128">
        <v>98.3</v>
      </c>
      <c r="H1128">
        <v>134.5</v>
      </c>
      <c r="I1128">
        <v>139.4</v>
      </c>
      <c r="J1128">
        <v>100</v>
      </c>
      <c r="K1128">
        <v>100</v>
      </c>
      <c r="L1128" s="1" t="s">
        <v>2755</v>
      </c>
      <c r="M1128" t="s">
        <v>2757</v>
      </c>
      <c r="N1128">
        <v>5</v>
      </c>
    </row>
    <row r="1129" spans="1:14" x14ac:dyDescent="0.25">
      <c r="A1129" s="3" t="str">
        <f>HYPERLINK("http://www.ncbi.nlm.nih.gov/gene/123872","123872")</f>
        <v>123872</v>
      </c>
      <c r="B1129" s="1" t="s">
        <v>2758</v>
      </c>
      <c r="C1129" t="s">
        <v>2759</v>
      </c>
      <c r="D1129">
        <v>150.5</v>
      </c>
      <c r="E1129">
        <v>135.5</v>
      </c>
      <c r="F1129">
        <v>100</v>
      </c>
      <c r="G1129">
        <v>99.8</v>
      </c>
      <c r="H1129">
        <v>161.5</v>
      </c>
      <c r="I1129">
        <v>167.4</v>
      </c>
      <c r="J1129">
        <v>100</v>
      </c>
      <c r="K1129">
        <v>100</v>
      </c>
      <c r="L1129" s="1" t="s">
        <v>2758</v>
      </c>
      <c r="M1129" t="s">
        <v>1483</v>
      </c>
      <c r="N1129">
        <v>3</v>
      </c>
    </row>
    <row r="1130" spans="1:14" x14ac:dyDescent="0.25">
      <c r="A1130" s="3" t="str">
        <f>HYPERLINK("http://www.ncbi.nlm.nih.gov/gene/23639","23639")</f>
        <v>23639</v>
      </c>
      <c r="B1130" s="1" t="s">
        <v>2760</v>
      </c>
      <c r="C1130" t="s">
        <v>2761</v>
      </c>
      <c r="D1130">
        <v>172</v>
      </c>
      <c r="E1130">
        <v>181.6</v>
      </c>
      <c r="F1130">
        <v>99.2</v>
      </c>
      <c r="G1130">
        <v>96.3</v>
      </c>
      <c r="H1130">
        <v>149.9</v>
      </c>
      <c r="I1130">
        <v>155.5</v>
      </c>
      <c r="J1130">
        <v>100</v>
      </c>
      <c r="K1130">
        <v>100</v>
      </c>
      <c r="L1130" s="1" t="s">
        <v>2762</v>
      </c>
      <c r="M1130" t="s">
        <v>1483</v>
      </c>
      <c r="N1130">
        <v>3</v>
      </c>
    </row>
    <row r="1131" spans="1:14" x14ac:dyDescent="0.25">
      <c r="A1131" s="3" t="str">
        <f>HYPERLINK("http://www.ncbi.nlm.nih.gov/gene/55172","55172")</f>
        <v>55172</v>
      </c>
      <c r="B1131" s="1" t="s">
        <v>2763</v>
      </c>
      <c r="C1131" t="s">
        <v>2764</v>
      </c>
      <c r="D1131">
        <v>130.4</v>
      </c>
      <c r="E1131">
        <v>111.9</v>
      </c>
      <c r="F1131">
        <v>99.9</v>
      </c>
      <c r="G1131">
        <v>98.9</v>
      </c>
      <c r="H1131">
        <v>144.5</v>
      </c>
      <c r="I1131">
        <v>141.80000000000001</v>
      </c>
      <c r="J1131">
        <v>100</v>
      </c>
      <c r="K1131">
        <v>100</v>
      </c>
      <c r="L1131" s="1" t="s">
        <v>2763</v>
      </c>
      <c r="M1131" t="s">
        <v>2765</v>
      </c>
      <c r="N1131">
        <v>3</v>
      </c>
    </row>
    <row r="1132" spans="1:14" x14ac:dyDescent="0.25">
      <c r="A1132" s="3" t="str">
        <f>HYPERLINK("http://www.ncbi.nlm.nih.gov/gene/352909","352909")</f>
        <v>352909</v>
      </c>
      <c r="B1132" s="1" t="s">
        <v>2766</v>
      </c>
      <c r="C1132" t="s">
        <v>2767</v>
      </c>
      <c r="D1132">
        <v>122.7</v>
      </c>
      <c r="E1132">
        <v>122.1</v>
      </c>
      <c r="F1132">
        <v>99.5</v>
      </c>
      <c r="G1132">
        <v>96.1</v>
      </c>
      <c r="H1132">
        <v>152.6</v>
      </c>
      <c r="I1132">
        <v>158</v>
      </c>
      <c r="J1132">
        <v>100</v>
      </c>
      <c r="K1132">
        <v>100</v>
      </c>
      <c r="L1132" s="1" t="s">
        <v>2766</v>
      </c>
      <c r="M1132" t="s">
        <v>1483</v>
      </c>
      <c r="N1132">
        <v>3</v>
      </c>
    </row>
    <row r="1133" spans="1:14" x14ac:dyDescent="0.25">
      <c r="A1133" s="3" t="str">
        <f>HYPERLINK("http://www.ncbi.nlm.nih.gov/gene/161582","161582")</f>
        <v>161582</v>
      </c>
      <c r="B1133" s="1" t="s">
        <v>2768</v>
      </c>
      <c r="C1133" t="s">
        <v>2769</v>
      </c>
      <c r="D1133">
        <v>102.3</v>
      </c>
      <c r="E1133">
        <v>104.8</v>
      </c>
      <c r="F1133">
        <v>99.8</v>
      </c>
      <c r="G1133">
        <v>97</v>
      </c>
      <c r="H1133">
        <v>129.69999999999999</v>
      </c>
      <c r="I1133">
        <v>133.6</v>
      </c>
      <c r="J1133">
        <v>100</v>
      </c>
      <c r="K1133">
        <v>100</v>
      </c>
      <c r="L1133" s="1" t="s">
        <v>2768</v>
      </c>
      <c r="M1133" t="s">
        <v>1483</v>
      </c>
      <c r="N1133">
        <v>3</v>
      </c>
    </row>
    <row r="1134" spans="1:14" x14ac:dyDescent="0.25">
      <c r="A1134" s="3" t="str">
        <f>HYPERLINK("http://www.ncbi.nlm.nih.gov/gene/54919","54919")</f>
        <v>54919</v>
      </c>
      <c r="B1134" s="1" t="s">
        <v>2770</v>
      </c>
      <c r="C1134" t="s">
        <v>2771</v>
      </c>
      <c r="D1134">
        <v>101.3</v>
      </c>
      <c r="E1134">
        <v>107.4</v>
      </c>
      <c r="F1134">
        <v>84.6</v>
      </c>
      <c r="G1134">
        <v>78.599999999999994</v>
      </c>
      <c r="H1134">
        <v>126.9</v>
      </c>
      <c r="I1134">
        <v>131.5</v>
      </c>
      <c r="J1134">
        <v>99.1</v>
      </c>
      <c r="K1134">
        <v>97.5</v>
      </c>
      <c r="L1134" s="1" t="s">
        <v>2770</v>
      </c>
      <c r="M1134" t="s">
        <v>1483</v>
      </c>
      <c r="N1134">
        <v>3</v>
      </c>
    </row>
    <row r="1135" spans="1:14" x14ac:dyDescent="0.25">
      <c r="A1135" s="3" t="str">
        <f>HYPERLINK("http://www.ncbi.nlm.nih.gov/gene/139212","139212")</f>
        <v>139212</v>
      </c>
      <c r="B1135" s="1" t="s">
        <v>2772</v>
      </c>
      <c r="C1135" t="s">
        <v>2773</v>
      </c>
      <c r="D1135">
        <v>80.599999999999994</v>
      </c>
      <c r="E1135">
        <v>83.8</v>
      </c>
      <c r="F1135">
        <v>99.1</v>
      </c>
      <c r="G1135">
        <v>92.5</v>
      </c>
      <c r="H1135">
        <v>97.4</v>
      </c>
      <c r="I1135">
        <v>99.6</v>
      </c>
      <c r="J1135">
        <v>100</v>
      </c>
      <c r="K1135">
        <v>100</v>
      </c>
      <c r="L1135" s="1" t="s">
        <v>2774</v>
      </c>
      <c r="M1135" t="s">
        <v>2775</v>
      </c>
      <c r="N1135">
        <v>2</v>
      </c>
    </row>
    <row r="1136" spans="1:14" x14ac:dyDescent="0.25">
      <c r="A1136" s="3" t="str">
        <f>HYPERLINK("http://www.ncbi.nlm.nih.gov/gene/25981","25981")</f>
        <v>25981</v>
      </c>
      <c r="B1136" s="1" t="s">
        <v>2776</v>
      </c>
      <c r="C1136" t="s">
        <v>2777</v>
      </c>
      <c r="D1136">
        <v>158.5</v>
      </c>
      <c r="E1136">
        <v>166.5</v>
      </c>
      <c r="F1136">
        <v>100</v>
      </c>
      <c r="G1136">
        <v>99.7</v>
      </c>
      <c r="H1136">
        <v>131.9</v>
      </c>
      <c r="I1136">
        <v>135.80000000000001</v>
      </c>
      <c r="J1136">
        <v>100</v>
      </c>
      <c r="K1136">
        <v>100</v>
      </c>
      <c r="L1136" s="1" t="s">
        <v>2776</v>
      </c>
      <c r="M1136" t="s">
        <v>1483</v>
      </c>
      <c r="N1136">
        <v>3</v>
      </c>
    </row>
    <row r="1137" spans="1:14" x14ac:dyDescent="0.25">
      <c r="A1137" s="3" t="str">
        <f>HYPERLINK("http://www.ncbi.nlm.nih.gov/gene/196385","196385")</f>
        <v>196385</v>
      </c>
      <c r="B1137" s="1" t="s">
        <v>2778</v>
      </c>
      <c r="D1137">
        <v>143.5</v>
      </c>
      <c r="E1137">
        <v>150.19999999999999</v>
      </c>
      <c r="F1137">
        <v>99.9</v>
      </c>
      <c r="G1137">
        <v>99.4</v>
      </c>
      <c r="H1137">
        <v>174.8</v>
      </c>
      <c r="I1137">
        <v>180.3</v>
      </c>
      <c r="J1137">
        <v>100</v>
      </c>
      <c r="K1137">
        <v>100</v>
      </c>
      <c r="L1137" s="1" t="s">
        <v>2778</v>
      </c>
      <c r="M1137" t="s">
        <v>718</v>
      </c>
      <c r="N1137">
        <v>2</v>
      </c>
    </row>
    <row r="1138" spans="1:14" x14ac:dyDescent="0.25">
      <c r="A1138" s="3" t="str">
        <f>HYPERLINK("http://www.ncbi.nlm.nih.gov/gene/8701","8701")</f>
        <v>8701</v>
      </c>
      <c r="B1138" s="1" t="s">
        <v>2779</v>
      </c>
      <c r="C1138" t="s">
        <v>2780</v>
      </c>
      <c r="D1138">
        <v>149.6</v>
      </c>
      <c r="E1138">
        <v>155.9</v>
      </c>
      <c r="F1138">
        <v>99.9</v>
      </c>
      <c r="G1138">
        <v>99</v>
      </c>
      <c r="H1138">
        <v>134.19999999999999</v>
      </c>
      <c r="I1138">
        <v>138.6</v>
      </c>
      <c r="J1138">
        <v>100</v>
      </c>
      <c r="K1138">
        <v>100</v>
      </c>
      <c r="L1138" s="1" t="s">
        <v>2779</v>
      </c>
      <c r="M1138" t="s">
        <v>1483</v>
      </c>
      <c r="N1138">
        <v>3</v>
      </c>
    </row>
    <row r="1139" spans="1:14" x14ac:dyDescent="0.25">
      <c r="A1139" s="3" t="str">
        <f>HYPERLINK("http://www.ncbi.nlm.nih.gov/gene/8632","8632")</f>
        <v>8632</v>
      </c>
      <c r="B1139" s="1" t="s">
        <v>2781</v>
      </c>
      <c r="C1139" t="s">
        <v>2782</v>
      </c>
      <c r="D1139">
        <v>133</v>
      </c>
      <c r="E1139">
        <v>139.1</v>
      </c>
      <c r="F1139">
        <v>100</v>
      </c>
      <c r="G1139">
        <v>99.6</v>
      </c>
      <c r="H1139">
        <v>106.1</v>
      </c>
      <c r="I1139">
        <v>109.6</v>
      </c>
      <c r="J1139">
        <v>100</v>
      </c>
      <c r="K1139">
        <v>99.9</v>
      </c>
      <c r="L1139" s="1" t="s">
        <v>2781</v>
      </c>
      <c r="M1139" t="s">
        <v>1495</v>
      </c>
      <c r="N1139">
        <v>2</v>
      </c>
    </row>
    <row r="1140" spans="1:14" x14ac:dyDescent="0.25">
      <c r="A1140" s="3" t="str">
        <f>HYPERLINK("http://www.ncbi.nlm.nih.gov/gene/1767","1767")</f>
        <v>1767</v>
      </c>
      <c r="B1140" s="1" t="s">
        <v>2783</v>
      </c>
      <c r="C1140" t="s">
        <v>2784</v>
      </c>
      <c r="D1140">
        <v>133</v>
      </c>
      <c r="E1140">
        <v>139.19999999999999</v>
      </c>
      <c r="F1140">
        <v>99.9</v>
      </c>
      <c r="G1140">
        <v>99.3</v>
      </c>
      <c r="H1140">
        <v>140.69999999999999</v>
      </c>
      <c r="I1140">
        <v>145.4</v>
      </c>
      <c r="J1140">
        <v>100</v>
      </c>
      <c r="K1140">
        <v>100</v>
      </c>
      <c r="L1140" s="1" t="s">
        <v>2783</v>
      </c>
      <c r="M1140" t="s">
        <v>1500</v>
      </c>
      <c r="N1140">
        <v>3</v>
      </c>
    </row>
    <row r="1141" spans="1:14" x14ac:dyDescent="0.25">
      <c r="A1141" s="3" t="str">
        <f>HYPERLINK("http://www.ncbi.nlm.nih.gov/gene/1769","1769")</f>
        <v>1769</v>
      </c>
      <c r="B1141" s="1" t="s">
        <v>2785</v>
      </c>
      <c r="C1141" t="s">
        <v>2786</v>
      </c>
      <c r="D1141">
        <v>141.6</v>
      </c>
      <c r="E1141">
        <v>146.9</v>
      </c>
      <c r="F1141">
        <v>99.9</v>
      </c>
      <c r="G1141">
        <v>99</v>
      </c>
      <c r="H1141">
        <v>126.2</v>
      </c>
      <c r="I1141">
        <v>129.9</v>
      </c>
      <c r="J1141">
        <v>100</v>
      </c>
      <c r="K1141">
        <v>100</v>
      </c>
      <c r="L1141" s="1" t="s">
        <v>2785</v>
      </c>
      <c r="M1141" t="s">
        <v>1495</v>
      </c>
      <c r="N1141">
        <v>2</v>
      </c>
    </row>
    <row r="1142" spans="1:14" x14ac:dyDescent="0.25">
      <c r="A1142" s="3" t="str">
        <f>HYPERLINK("http://www.ncbi.nlm.nih.gov/gene/1770","1770")</f>
        <v>1770</v>
      </c>
      <c r="B1142" s="1" t="s">
        <v>2787</v>
      </c>
      <c r="C1142" t="s">
        <v>2788</v>
      </c>
      <c r="D1142">
        <v>128.19999999999999</v>
      </c>
      <c r="E1142">
        <v>132.69999999999999</v>
      </c>
      <c r="F1142">
        <v>99.5</v>
      </c>
      <c r="G1142">
        <v>98.3</v>
      </c>
      <c r="H1142">
        <v>143.6</v>
      </c>
      <c r="I1142">
        <v>148.1</v>
      </c>
      <c r="J1142">
        <v>100</v>
      </c>
      <c r="K1142">
        <v>100</v>
      </c>
      <c r="L1142" s="1" t="s">
        <v>2787</v>
      </c>
      <c r="M1142" t="s">
        <v>53</v>
      </c>
      <c r="N1142">
        <v>2</v>
      </c>
    </row>
    <row r="1143" spans="1:14" x14ac:dyDescent="0.25">
      <c r="A1143" s="3" t="str">
        <f>HYPERLINK("http://www.ncbi.nlm.nih.gov/gene/27019","27019")</f>
        <v>27019</v>
      </c>
      <c r="B1143" s="1" t="s">
        <v>2789</v>
      </c>
      <c r="C1143" t="s">
        <v>2790</v>
      </c>
      <c r="D1143">
        <v>127.8</v>
      </c>
      <c r="E1143">
        <v>132.6</v>
      </c>
      <c r="F1143">
        <v>100</v>
      </c>
      <c r="G1143">
        <v>100</v>
      </c>
      <c r="H1143">
        <v>137.80000000000001</v>
      </c>
      <c r="I1143">
        <v>140.6</v>
      </c>
      <c r="J1143">
        <v>100</v>
      </c>
      <c r="K1143">
        <v>100</v>
      </c>
      <c r="L1143" s="1" t="s">
        <v>2789</v>
      </c>
      <c r="M1143" t="s">
        <v>1483</v>
      </c>
      <c r="N1143">
        <v>3</v>
      </c>
    </row>
    <row r="1144" spans="1:14" x14ac:dyDescent="0.25">
      <c r="A1144" s="3" t="str">
        <f>HYPERLINK("http://www.ncbi.nlm.nih.gov/gene/64446","64446")</f>
        <v>64446</v>
      </c>
      <c r="B1144" s="1" t="s">
        <v>2791</v>
      </c>
      <c r="C1144" t="s">
        <v>2792</v>
      </c>
      <c r="D1144">
        <v>173.6</v>
      </c>
      <c r="E1144">
        <v>182.7</v>
      </c>
      <c r="F1144">
        <v>98.6</v>
      </c>
      <c r="G1144">
        <v>96.2</v>
      </c>
      <c r="H1144">
        <v>133.5</v>
      </c>
      <c r="I1144">
        <v>137.1</v>
      </c>
      <c r="J1144">
        <v>100</v>
      </c>
      <c r="K1144">
        <v>100</v>
      </c>
      <c r="L1144" s="1" t="s">
        <v>2791</v>
      </c>
      <c r="M1144" t="s">
        <v>2765</v>
      </c>
      <c r="N1144">
        <v>3</v>
      </c>
    </row>
    <row r="1145" spans="1:14" x14ac:dyDescent="0.25">
      <c r="A1145" s="3" t="str">
        <f>HYPERLINK("http://www.ncbi.nlm.nih.gov/gene/9093","9093")</f>
        <v>9093</v>
      </c>
      <c r="B1145" s="1" t="s">
        <v>2793</v>
      </c>
      <c r="C1145" t="s">
        <v>2794</v>
      </c>
      <c r="D1145">
        <v>134.30000000000001</v>
      </c>
      <c r="E1145">
        <v>142.1</v>
      </c>
      <c r="F1145">
        <v>98.6</v>
      </c>
      <c r="G1145">
        <v>96</v>
      </c>
      <c r="H1145">
        <v>184.2</v>
      </c>
      <c r="I1145">
        <v>190</v>
      </c>
      <c r="J1145">
        <v>100</v>
      </c>
      <c r="K1145">
        <v>100</v>
      </c>
      <c r="L1145" s="1" t="s">
        <v>2793</v>
      </c>
      <c r="M1145" t="s">
        <v>265</v>
      </c>
      <c r="N1145">
        <v>2</v>
      </c>
    </row>
    <row r="1146" spans="1:14" x14ac:dyDescent="0.25">
      <c r="A1146" s="3" t="str">
        <f>HYPERLINK("http://www.ncbi.nlm.nih.gov/gene/51726","51726")</f>
        <v>51726</v>
      </c>
      <c r="B1146" s="1" t="s">
        <v>2795</v>
      </c>
      <c r="C1146" t="s">
        <v>2796</v>
      </c>
      <c r="D1146">
        <v>125.2</v>
      </c>
      <c r="E1146">
        <v>128.6</v>
      </c>
      <c r="F1146">
        <v>100</v>
      </c>
      <c r="G1146">
        <v>99.5</v>
      </c>
      <c r="H1146">
        <v>116.4</v>
      </c>
      <c r="I1146">
        <v>119.5</v>
      </c>
      <c r="J1146">
        <v>100</v>
      </c>
      <c r="K1146">
        <v>100</v>
      </c>
      <c r="L1146" s="1" t="s">
        <v>2795</v>
      </c>
      <c r="M1146" t="s">
        <v>2797</v>
      </c>
      <c r="N1146">
        <v>3</v>
      </c>
    </row>
    <row r="1147" spans="1:14" x14ac:dyDescent="0.25">
      <c r="A1147" s="3" t="str">
        <f>HYPERLINK("http://www.ncbi.nlm.nih.gov/gene/374407","374407")</f>
        <v>374407</v>
      </c>
      <c r="B1147" s="1" t="s">
        <v>2798</v>
      </c>
      <c r="C1147" t="s">
        <v>2799</v>
      </c>
      <c r="D1147">
        <v>135.80000000000001</v>
      </c>
      <c r="E1147">
        <v>139.4</v>
      </c>
      <c r="F1147">
        <v>100</v>
      </c>
      <c r="G1147">
        <v>100</v>
      </c>
      <c r="H1147">
        <v>147</v>
      </c>
      <c r="I1147">
        <v>151.30000000000001</v>
      </c>
      <c r="J1147">
        <v>100</v>
      </c>
      <c r="K1147">
        <v>100</v>
      </c>
      <c r="L1147" s="1" t="s">
        <v>2798</v>
      </c>
      <c r="M1147" t="s">
        <v>1495</v>
      </c>
      <c r="N1147">
        <v>2</v>
      </c>
    </row>
    <row r="1148" spans="1:14" x14ac:dyDescent="0.25">
      <c r="A1148" s="3" t="str">
        <f>HYPERLINK("http://www.ncbi.nlm.nih.gov/gene/3300","3300")</f>
        <v>3300</v>
      </c>
      <c r="B1148" s="1" t="s">
        <v>2800</v>
      </c>
      <c r="C1148" t="s">
        <v>2801</v>
      </c>
      <c r="D1148">
        <v>134.9</v>
      </c>
      <c r="E1148">
        <v>139.80000000000001</v>
      </c>
      <c r="F1148">
        <v>100</v>
      </c>
      <c r="G1148">
        <v>100</v>
      </c>
      <c r="H1148">
        <v>152.6</v>
      </c>
      <c r="I1148">
        <v>155.30000000000001</v>
      </c>
      <c r="J1148">
        <v>100</v>
      </c>
      <c r="K1148">
        <v>100</v>
      </c>
      <c r="L1148" s="1" t="s">
        <v>2800</v>
      </c>
      <c r="M1148" t="s">
        <v>44</v>
      </c>
      <c r="N1148">
        <v>3</v>
      </c>
    </row>
    <row r="1149" spans="1:14" x14ac:dyDescent="0.25">
      <c r="A1149" s="3" t="str">
        <f>HYPERLINK("http://www.ncbi.nlm.nih.gov/gene/25822","25822")</f>
        <v>25822</v>
      </c>
      <c r="B1149" s="1" t="s">
        <v>2802</v>
      </c>
      <c r="C1149" t="s">
        <v>2803</v>
      </c>
      <c r="D1149">
        <v>153</v>
      </c>
      <c r="E1149">
        <v>140.6</v>
      </c>
      <c r="F1149">
        <v>95.7</v>
      </c>
      <c r="G1149">
        <v>91.3</v>
      </c>
      <c r="H1149">
        <v>148.19999999999999</v>
      </c>
      <c r="I1149">
        <v>151.69999999999999</v>
      </c>
      <c r="J1149">
        <v>100</v>
      </c>
      <c r="K1149">
        <v>100</v>
      </c>
      <c r="L1149" s="1" t="s">
        <v>2802</v>
      </c>
      <c r="M1149" t="s">
        <v>718</v>
      </c>
      <c r="N1149">
        <v>2</v>
      </c>
    </row>
    <row r="1150" spans="1:14" x14ac:dyDescent="0.25">
      <c r="A1150" s="3" t="str">
        <f>HYPERLINK("http://www.ncbi.nlm.nih.gov/gene/10049","10049")</f>
        <v>10049</v>
      </c>
      <c r="B1150" s="1" t="s">
        <v>2804</v>
      </c>
      <c r="C1150" t="s">
        <v>2805</v>
      </c>
      <c r="D1150">
        <v>68.5</v>
      </c>
      <c r="E1150">
        <v>68.599999999999994</v>
      </c>
      <c r="F1150">
        <v>96.5</v>
      </c>
      <c r="G1150">
        <v>88.5</v>
      </c>
      <c r="H1150">
        <v>134.19999999999999</v>
      </c>
      <c r="I1150">
        <v>136</v>
      </c>
      <c r="J1150">
        <v>100</v>
      </c>
      <c r="K1150">
        <v>100</v>
      </c>
      <c r="L1150" s="1" t="s">
        <v>2804</v>
      </c>
      <c r="M1150" t="s">
        <v>1435</v>
      </c>
      <c r="N1150">
        <v>2</v>
      </c>
    </row>
    <row r="1151" spans="1:14" x14ac:dyDescent="0.25">
      <c r="A1151" s="3" t="str">
        <f>HYPERLINK("http://www.ncbi.nlm.nih.gov/gene/56521","56521")</f>
        <v>56521</v>
      </c>
      <c r="B1151" s="1" t="s">
        <v>2806</v>
      </c>
      <c r="C1151" t="s">
        <v>2807</v>
      </c>
      <c r="D1151">
        <v>182</v>
      </c>
      <c r="E1151">
        <v>188.9</v>
      </c>
      <c r="F1151">
        <v>87.4</v>
      </c>
      <c r="G1151">
        <v>87.4</v>
      </c>
      <c r="H1151">
        <v>147.30000000000001</v>
      </c>
      <c r="I1151">
        <v>150.9</v>
      </c>
      <c r="J1151">
        <v>100</v>
      </c>
      <c r="K1151">
        <v>100</v>
      </c>
      <c r="L1151" s="1" t="s">
        <v>2806</v>
      </c>
      <c r="M1151" t="s">
        <v>703</v>
      </c>
      <c r="N1151">
        <v>5</v>
      </c>
    </row>
    <row r="1152" spans="1:14" x14ac:dyDescent="0.25">
      <c r="A1152" s="3" t="str">
        <f>HYPERLINK("http://www.ncbi.nlm.nih.gov/gene/131118","131118")</f>
        <v>131118</v>
      </c>
      <c r="B1152" s="1" t="s">
        <v>2808</v>
      </c>
      <c r="C1152" t="s">
        <v>2809</v>
      </c>
      <c r="D1152">
        <v>138.5</v>
      </c>
      <c r="E1152">
        <v>139.69999999999999</v>
      </c>
      <c r="F1152">
        <v>98.9</v>
      </c>
      <c r="G1152">
        <v>96.2</v>
      </c>
      <c r="H1152">
        <v>111.6</v>
      </c>
      <c r="I1152">
        <v>113</v>
      </c>
      <c r="J1152">
        <v>100</v>
      </c>
      <c r="K1152">
        <v>100</v>
      </c>
      <c r="L1152" s="1" t="s">
        <v>2808</v>
      </c>
      <c r="M1152" t="s">
        <v>1330</v>
      </c>
      <c r="N1152">
        <v>5</v>
      </c>
    </row>
    <row r="1153" spans="1:14" x14ac:dyDescent="0.25">
      <c r="A1153" s="3" t="str">
        <f>HYPERLINK("http://www.ncbi.nlm.nih.gov/gene/134218","134218")</f>
        <v>134218</v>
      </c>
      <c r="B1153" s="1" t="s">
        <v>2810</v>
      </c>
      <c r="C1153" t="s">
        <v>2811</v>
      </c>
      <c r="D1153">
        <v>136.9</v>
      </c>
      <c r="E1153">
        <v>143.80000000000001</v>
      </c>
      <c r="F1153">
        <v>99.8</v>
      </c>
      <c r="G1153">
        <v>98.7</v>
      </c>
      <c r="H1153">
        <v>120.6</v>
      </c>
      <c r="I1153">
        <v>124.6</v>
      </c>
      <c r="J1153">
        <v>100</v>
      </c>
      <c r="K1153">
        <v>100</v>
      </c>
      <c r="L1153" s="1" t="s">
        <v>2810</v>
      </c>
      <c r="M1153" t="s">
        <v>2812</v>
      </c>
      <c r="N1153">
        <v>5</v>
      </c>
    </row>
    <row r="1154" spans="1:14" x14ac:dyDescent="0.25">
      <c r="A1154" s="3" t="str">
        <f>HYPERLINK("http://www.ncbi.nlm.nih.gov/gene/5611","5611")</f>
        <v>5611</v>
      </c>
      <c r="B1154" s="1" t="s">
        <v>2813</v>
      </c>
      <c r="C1154" t="s">
        <v>2814</v>
      </c>
      <c r="D1154">
        <v>143.4</v>
      </c>
      <c r="E1154">
        <v>148.30000000000001</v>
      </c>
      <c r="F1154">
        <v>100</v>
      </c>
      <c r="G1154">
        <v>99.7</v>
      </c>
      <c r="H1154">
        <v>110.7</v>
      </c>
      <c r="I1154">
        <v>113.6</v>
      </c>
      <c r="J1154">
        <v>100</v>
      </c>
      <c r="K1154">
        <v>100</v>
      </c>
      <c r="L1154" s="1" t="s">
        <v>2813</v>
      </c>
      <c r="M1154" t="s">
        <v>2815</v>
      </c>
      <c r="N1154">
        <v>5</v>
      </c>
    </row>
    <row r="1155" spans="1:14" x14ac:dyDescent="0.25">
      <c r="A1155" s="3" t="str">
        <f>HYPERLINK("http://www.ncbi.nlm.nih.gov/gene/84277","84277")</f>
        <v>84277</v>
      </c>
      <c r="B1155" s="1" t="s">
        <v>2816</v>
      </c>
      <c r="C1155" t="s">
        <v>2817</v>
      </c>
      <c r="D1155">
        <v>175.5</v>
      </c>
      <c r="E1155">
        <v>173</v>
      </c>
      <c r="F1155">
        <v>100</v>
      </c>
      <c r="G1155">
        <v>100</v>
      </c>
      <c r="H1155">
        <v>163.9</v>
      </c>
      <c r="I1155">
        <v>166.9</v>
      </c>
      <c r="J1155">
        <v>100</v>
      </c>
      <c r="K1155">
        <v>100</v>
      </c>
      <c r="L1155" s="1" t="s">
        <v>2816</v>
      </c>
      <c r="M1155" t="s">
        <v>2818</v>
      </c>
      <c r="N1155">
        <v>3</v>
      </c>
    </row>
    <row r="1156" spans="1:14" x14ac:dyDescent="0.25">
      <c r="A1156" s="3" t="str">
        <f>HYPERLINK("http://www.ncbi.nlm.nih.gov/gene/80331","80331")</f>
        <v>80331</v>
      </c>
      <c r="B1156" s="1" t="s">
        <v>2819</v>
      </c>
      <c r="C1156" t="s">
        <v>2820</v>
      </c>
      <c r="D1156">
        <v>210.7</v>
      </c>
      <c r="E1156">
        <v>228</v>
      </c>
      <c r="F1156">
        <v>100</v>
      </c>
      <c r="G1156">
        <v>100</v>
      </c>
      <c r="H1156">
        <v>137.1</v>
      </c>
      <c r="I1156">
        <v>140.9</v>
      </c>
      <c r="J1156">
        <v>100</v>
      </c>
      <c r="K1156">
        <v>100</v>
      </c>
      <c r="L1156" s="1" t="s">
        <v>2819</v>
      </c>
      <c r="M1156" t="s">
        <v>1867</v>
      </c>
      <c r="N1156">
        <v>2</v>
      </c>
    </row>
    <row r="1157" spans="1:14" x14ac:dyDescent="0.25">
      <c r="A1157" s="3" t="str">
        <f>HYPERLINK("http://www.ncbi.nlm.nih.gov/gene/9829","9829")</f>
        <v>9829</v>
      </c>
      <c r="B1157" s="1" t="s">
        <v>2821</v>
      </c>
      <c r="C1157" t="s">
        <v>2822</v>
      </c>
      <c r="D1157">
        <v>157.9</v>
      </c>
      <c r="E1157">
        <v>161.6</v>
      </c>
      <c r="F1157">
        <v>100</v>
      </c>
      <c r="G1157">
        <v>99.4</v>
      </c>
      <c r="H1157">
        <v>140.1</v>
      </c>
      <c r="I1157">
        <v>143.9</v>
      </c>
      <c r="J1157">
        <v>100</v>
      </c>
      <c r="K1157">
        <v>100</v>
      </c>
      <c r="L1157" s="1" t="s">
        <v>2821</v>
      </c>
      <c r="M1157" t="s">
        <v>2823</v>
      </c>
      <c r="N1157">
        <v>3</v>
      </c>
    </row>
    <row r="1158" spans="1:14" x14ac:dyDescent="0.25">
      <c r="A1158" s="3" t="str">
        <f>HYPERLINK("http://www.ncbi.nlm.nih.gov/gene/83544","83544")</f>
        <v>83544</v>
      </c>
      <c r="B1158" s="1" t="s">
        <v>2824</v>
      </c>
      <c r="C1158" t="s">
        <v>2825</v>
      </c>
      <c r="D1158">
        <v>112.5</v>
      </c>
      <c r="E1158">
        <v>112.7</v>
      </c>
      <c r="F1158">
        <v>99</v>
      </c>
      <c r="G1158">
        <v>96.8</v>
      </c>
      <c r="H1158">
        <v>110.8</v>
      </c>
      <c r="I1158">
        <v>113.1</v>
      </c>
      <c r="J1158">
        <v>100</v>
      </c>
      <c r="K1158">
        <v>100</v>
      </c>
      <c r="L1158" s="1" t="s">
        <v>2824</v>
      </c>
      <c r="M1158" t="s">
        <v>1483</v>
      </c>
      <c r="N1158">
        <v>3</v>
      </c>
    </row>
    <row r="1159" spans="1:14" x14ac:dyDescent="0.25">
      <c r="A1159" s="3" t="str">
        <f>HYPERLINK("http://www.ncbi.nlm.nih.gov/gene/10126","10126")</f>
        <v>10126</v>
      </c>
      <c r="B1159" s="1" t="s">
        <v>2826</v>
      </c>
      <c r="C1159" t="s">
        <v>2827</v>
      </c>
      <c r="D1159">
        <v>78.400000000000006</v>
      </c>
      <c r="E1159">
        <v>80.8</v>
      </c>
      <c r="F1159">
        <v>100</v>
      </c>
      <c r="G1159">
        <v>98.9</v>
      </c>
      <c r="H1159">
        <v>139.1</v>
      </c>
      <c r="I1159">
        <v>142.80000000000001</v>
      </c>
      <c r="J1159">
        <v>100</v>
      </c>
      <c r="K1159">
        <v>100</v>
      </c>
      <c r="L1159" s="1" t="s">
        <v>2826</v>
      </c>
      <c r="M1159" t="s">
        <v>2828</v>
      </c>
      <c r="N1159">
        <v>2</v>
      </c>
    </row>
    <row r="1160" spans="1:14" x14ac:dyDescent="0.25">
      <c r="A1160" s="3" t="str">
        <f>HYPERLINK("http://www.ncbi.nlm.nih.gov/gene/1773","1773")</f>
        <v>1773</v>
      </c>
      <c r="B1160" s="1" t="s">
        <v>2829</v>
      </c>
      <c r="C1160" t="s">
        <v>2830</v>
      </c>
      <c r="D1160">
        <v>160.4</v>
      </c>
      <c r="E1160">
        <v>167.2</v>
      </c>
      <c r="F1160">
        <v>100</v>
      </c>
      <c r="G1160">
        <v>99.9</v>
      </c>
      <c r="H1160">
        <v>140.4</v>
      </c>
      <c r="I1160">
        <v>143.5</v>
      </c>
      <c r="J1160">
        <v>100</v>
      </c>
      <c r="K1160">
        <v>100</v>
      </c>
      <c r="L1160" s="1" t="s">
        <v>2829</v>
      </c>
      <c r="M1160" t="s">
        <v>2831</v>
      </c>
      <c r="N1160">
        <v>3</v>
      </c>
    </row>
    <row r="1161" spans="1:14" x14ac:dyDescent="0.25">
      <c r="A1161" s="3" t="str">
        <f>HYPERLINK("http://www.ncbi.nlm.nih.gov/gene/1776","1776")</f>
        <v>1776</v>
      </c>
      <c r="B1161" s="1" t="s">
        <v>2832</v>
      </c>
      <c r="C1161" t="s">
        <v>2833</v>
      </c>
      <c r="D1161">
        <v>135.1</v>
      </c>
      <c r="E1161">
        <v>140.19999999999999</v>
      </c>
      <c r="F1161">
        <v>100</v>
      </c>
      <c r="G1161">
        <v>100</v>
      </c>
      <c r="H1161">
        <v>130.19999999999999</v>
      </c>
      <c r="I1161">
        <v>133.5</v>
      </c>
      <c r="J1161">
        <v>100</v>
      </c>
      <c r="K1161">
        <v>100</v>
      </c>
      <c r="L1161" s="1" t="s">
        <v>2832</v>
      </c>
      <c r="M1161" t="s">
        <v>1097</v>
      </c>
      <c r="N1161">
        <v>3</v>
      </c>
    </row>
    <row r="1162" spans="1:14" x14ac:dyDescent="0.25">
      <c r="A1162" s="3" t="str">
        <f>HYPERLINK("http://www.ncbi.nlm.nih.gov/gene/1777","1777")</f>
        <v>1777</v>
      </c>
      <c r="B1162" s="1" t="s">
        <v>2834</v>
      </c>
      <c r="C1162" t="s">
        <v>2835</v>
      </c>
      <c r="D1162">
        <v>95.8</v>
      </c>
      <c r="E1162">
        <v>96.7</v>
      </c>
      <c r="F1162">
        <v>99.7</v>
      </c>
      <c r="G1162">
        <v>97.1</v>
      </c>
      <c r="H1162">
        <v>140.5</v>
      </c>
      <c r="I1162">
        <v>143.6</v>
      </c>
      <c r="J1162">
        <v>100</v>
      </c>
      <c r="K1162">
        <v>100</v>
      </c>
      <c r="L1162" s="1" t="s">
        <v>2834</v>
      </c>
      <c r="M1162" t="s">
        <v>502</v>
      </c>
      <c r="N1162">
        <v>2</v>
      </c>
    </row>
    <row r="1163" spans="1:14" x14ac:dyDescent="0.25">
      <c r="A1163" s="3" t="str">
        <f>HYPERLINK("http://www.ncbi.nlm.nih.gov/gene/1759","1759")</f>
        <v>1759</v>
      </c>
      <c r="B1163" s="1" t="s">
        <v>2836</v>
      </c>
      <c r="C1163" t="s">
        <v>2837</v>
      </c>
      <c r="D1163">
        <v>141.5</v>
      </c>
      <c r="E1163">
        <v>145</v>
      </c>
      <c r="F1163">
        <v>92.6</v>
      </c>
      <c r="G1163">
        <v>89.1</v>
      </c>
      <c r="H1163">
        <v>131.9</v>
      </c>
      <c r="I1163">
        <v>135.19999999999999</v>
      </c>
      <c r="J1163">
        <v>97.4</v>
      </c>
      <c r="K1163">
        <v>97.4</v>
      </c>
      <c r="L1163" s="1" t="s">
        <v>2836</v>
      </c>
      <c r="M1163" t="s">
        <v>995</v>
      </c>
      <c r="N1163">
        <v>3</v>
      </c>
    </row>
    <row r="1164" spans="1:14" x14ac:dyDescent="0.25">
      <c r="A1164" s="3" t="str">
        <f>HYPERLINK("http://www.ncbi.nlm.nih.gov/gene/10059","10059")</f>
        <v>10059</v>
      </c>
      <c r="B1164" s="1" t="s">
        <v>2838</v>
      </c>
      <c r="C1164" t="s">
        <v>2839</v>
      </c>
      <c r="D1164">
        <v>135.80000000000001</v>
      </c>
      <c r="E1164">
        <v>139.30000000000001</v>
      </c>
      <c r="F1164">
        <v>99.9</v>
      </c>
      <c r="G1164">
        <v>98.5</v>
      </c>
      <c r="H1164">
        <v>120.9</v>
      </c>
      <c r="I1164">
        <v>124.5</v>
      </c>
      <c r="J1164">
        <v>100</v>
      </c>
      <c r="K1164">
        <v>100</v>
      </c>
      <c r="L1164" s="1" t="s">
        <v>2838</v>
      </c>
      <c r="M1164" t="s">
        <v>2840</v>
      </c>
      <c r="N1164">
        <v>9</v>
      </c>
    </row>
    <row r="1165" spans="1:14" x14ac:dyDescent="0.25">
      <c r="A1165" s="3" t="str">
        <f>HYPERLINK("http://www.ncbi.nlm.nih.gov/gene/1785","1785")</f>
        <v>1785</v>
      </c>
      <c r="B1165" s="1" t="s">
        <v>2841</v>
      </c>
      <c r="C1165" t="s">
        <v>2842</v>
      </c>
      <c r="D1165">
        <v>133.4</v>
      </c>
      <c r="E1165">
        <v>138.9</v>
      </c>
      <c r="F1165">
        <v>98.1</v>
      </c>
      <c r="G1165">
        <v>94.5</v>
      </c>
      <c r="H1165">
        <v>141</v>
      </c>
      <c r="I1165">
        <v>144.6</v>
      </c>
      <c r="J1165">
        <v>100</v>
      </c>
      <c r="K1165">
        <v>100</v>
      </c>
      <c r="L1165" s="1" t="s">
        <v>2841</v>
      </c>
      <c r="M1165" t="s">
        <v>2843</v>
      </c>
      <c r="N1165">
        <v>6</v>
      </c>
    </row>
    <row r="1166" spans="1:14" x14ac:dyDescent="0.25">
      <c r="A1166" s="3" t="str">
        <f>HYPERLINK("http://www.ncbi.nlm.nih.gov/gene/23268","23268")</f>
        <v>23268</v>
      </c>
      <c r="B1166" s="1" t="s">
        <v>2844</v>
      </c>
      <c r="C1166" t="s">
        <v>2845</v>
      </c>
      <c r="D1166">
        <v>158.19999999999999</v>
      </c>
      <c r="E1166">
        <v>163.69999999999999</v>
      </c>
      <c r="F1166">
        <v>100</v>
      </c>
      <c r="G1166">
        <v>99.7</v>
      </c>
      <c r="H1166">
        <v>155.5</v>
      </c>
      <c r="I1166">
        <v>157.30000000000001</v>
      </c>
      <c r="J1166">
        <v>100</v>
      </c>
      <c r="K1166">
        <v>100</v>
      </c>
      <c r="L1166" s="1" t="s">
        <v>2844</v>
      </c>
      <c r="M1166" t="s">
        <v>56</v>
      </c>
      <c r="N1166">
        <v>3</v>
      </c>
    </row>
    <row r="1167" spans="1:14" x14ac:dyDescent="0.25">
      <c r="A1167" s="3" t="str">
        <f>HYPERLINK("http://www.ncbi.nlm.nih.gov/gene/1786","1786")</f>
        <v>1786</v>
      </c>
      <c r="B1167" s="1" t="s">
        <v>2846</v>
      </c>
      <c r="C1167" t="s">
        <v>2847</v>
      </c>
      <c r="D1167">
        <v>126.1</v>
      </c>
      <c r="E1167">
        <v>131.19999999999999</v>
      </c>
      <c r="F1167">
        <v>99.2</v>
      </c>
      <c r="G1167">
        <v>99</v>
      </c>
      <c r="H1167">
        <v>136.9</v>
      </c>
      <c r="I1167">
        <v>141</v>
      </c>
      <c r="J1167">
        <v>99.7</v>
      </c>
      <c r="K1167">
        <v>99.2</v>
      </c>
      <c r="L1167" s="1" t="s">
        <v>2846</v>
      </c>
      <c r="M1167" t="s">
        <v>2848</v>
      </c>
      <c r="N1167">
        <v>5</v>
      </c>
    </row>
    <row r="1168" spans="1:14" x14ac:dyDescent="0.25">
      <c r="A1168" s="3" t="str">
        <f>HYPERLINK("http://www.ncbi.nlm.nih.gov/gene/1788","1788")</f>
        <v>1788</v>
      </c>
      <c r="B1168" s="1" t="s">
        <v>2849</v>
      </c>
      <c r="C1168" t="s">
        <v>2850</v>
      </c>
      <c r="D1168">
        <v>129.5</v>
      </c>
      <c r="E1168">
        <v>134.9</v>
      </c>
      <c r="F1168">
        <v>99.8</v>
      </c>
      <c r="G1168">
        <v>98.6</v>
      </c>
      <c r="H1168">
        <v>143.30000000000001</v>
      </c>
      <c r="I1168">
        <v>147.4</v>
      </c>
      <c r="J1168">
        <v>100</v>
      </c>
      <c r="K1168">
        <v>100</v>
      </c>
      <c r="L1168" s="1" t="s">
        <v>2849</v>
      </c>
      <c r="M1168" t="s">
        <v>697</v>
      </c>
      <c r="N1168">
        <v>3</v>
      </c>
    </row>
    <row r="1169" spans="1:14" x14ac:dyDescent="0.25">
      <c r="A1169" s="3" t="str">
        <f>HYPERLINK("http://www.ncbi.nlm.nih.gov/gene/1789","1789")</f>
        <v>1789</v>
      </c>
      <c r="B1169" s="1" t="s">
        <v>2851</v>
      </c>
      <c r="C1169" t="s">
        <v>2852</v>
      </c>
      <c r="D1169">
        <v>130.1</v>
      </c>
      <c r="E1169">
        <v>133.6</v>
      </c>
      <c r="F1169">
        <v>100</v>
      </c>
      <c r="G1169">
        <v>100</v>
      </c>
      <c r="H1169">
        <v>137</v>
      </c>
      <c r="I1169">
        <v>140.6</v>
      </c>
      <c r="J1169">
        <v>100</v>
      </c>
      <c r="K1169">
        <v>100</v>
      </c>
      <c r="L1169" s="1" t="s">
        <v>2851</v>
      </c>
      <c r="M1169" t="s">
        <v>2853</v>
      </c>
      <c r="N1169">
        <v>5</v>
      </c>
    </row>
    <row r="1170" spans="1:14" x14ac:dyDescent="0.25">
      <c r="A1170" s="3" t="str">
        <f>HYPERLINK("http://www.ncbi.nlm.nih.gov/gene/1794","1794")</f>
        <v>1794</v>
      </c>
      <c r="B1170" s="1" t="s">
        <v>2854</v>
      </c>
      <c r="C1170" t="s">
        <v>2855</v>
      </c>
      <c r="D1170">
        <v>135.9</v>
      </c>
      <c r="E1170">
        <v>140.80000000000001</v>
      </c>
      <c r="F1170">
        <v>100</v>
      </c>
      <c r="G1170">
        <v>99.6</v>
      </c>
      <c r="H1170">
        <v>125.9</v>
      </c>
      <c r="I1170">
        <v>128.9</v>
      </c>
      <c r="J1170">
        <v>100</v>
      </c>
      <c r="K1170">
        <v>100</v>
      </c>
      <c r="L1170" s="1" t="s">
        <v>2854</v>
      </c>
      <c r="M1170" t="s">
        <v>1551</v>
      </c>
      <c r="N1170">
        <v>4</v>
      </c>
    </row>
    <row r="1171" spans="1:14" x14ac:dyDescent="0.25">
      <c r="A1171" s="3" t="str">
        <f>HYPERLINK("http://www.ncbi.nlm.nih.gov/gene/1795","1795")</f>
        <v>1795</v>
      </c>
      <c r="B1171" s="1" t="s">
        <v>2856</v>
      </c>
      <c r="C1171" t="s">
        <v>2857</v>
      </c>
      <c r="D1171">
        <v>131.4</v>
      </c>
      <c r="E1171">
        <v>134.80000000000001</v>
      </c>
      <c r="F1171">
        <v>100</v>
      </c>
      <c r="G1171">
        <v>99</v>
      </c>
      <c r="H1171">
        <v>137.1</v>
      </c>
      <c r="I1171">
        <v>140.69999999999999</v>
      </c>
      <c r="J1171">
        <v>100</v>
      </c>
      <c r="K1171">
        <v>100</v>
      </c>
      <c r="L1171" s="1" t="s">
        <v>2856</v>
      </c>
      <c r="M1171" t="s">
        <v>228</v>
      </c>
      <c r="N1171">
        <v>3</v>
      </c>
    </row>
    <row r="1172" spans="1:14" x14ac:dyDescent="0.25">
      <c r="A1172" s="3" t="str">
        <f>HYPERLINK("http://www.ncbi.nlm.nih.gov/gene/57572","57572")</f>
        <v>57572</v>
      </c>
      <c r="B1172" s="1" t="s">
        <v>2858</v>
      </c>
      <c r="C1172" t="s">
        <v>2859</v>
      </c>
      <c r="D1172">
        <v>118.7</v>
      </c>
      <c r="E1172">
        <v>122.2</v>
      </c>
      <c r="F1172">
        <v>99.3</v>
      </c>
      <c r="G1172">
        <v>98.9</v>
      </c>
      <c r="H1172">
        <v>139.19999999999999</v>
      </c>
      <c r="I1172">
        <v>143.19999999999999</v>
      </c>
      <c r="J1172">
        <v>100</v>
      </c>
      <c r="K1172">
        <v>100</v>
      </c>
      <c r="L1172" s="1" t="s">
        <v>2858</v>
      </c>
      <c r="M1172" t="s">
        <v>2860</v>
      </c>
      <c r="N1172">
        <v>6</v>
      </c>
    </row>
    <row r="1173" spans="1:14" x14ac:dyDescent="0.25">
      <c r="A1173" s="3" t="str">
        <f>HYPERLINK("http://www.ncbi.nlm.nih.gov/gene/85440","85440")</f>
        <v>85440</v>
      </c>
      <c r="B1173" s="1" t="s">
        <v>2861</v>
      </c>
      <c r="C1173" t="s">
        <v>2862</v>
      </c>
      <c r="D1173">
        <v>145</v>
      </c>
      <c r="E1173">
        <v>150.4</v>
      </c>
      <c r="F1173">
        <v>99.8</v>
      </c>
      <c r="G1173">
        <v>98.2</v>
      </c>
      <c r="H1173">
        <v>130.6</v>
      </c>
      <c r="I1173">
        <v>134.30000000000001</v>
      </c>
      <c r="J1173">
        <v>100</v>
      </c>
      <c r="K1173">
        <v>99.9</v>
      </c>
      <c r="L1173" s="1" t="s">
        <v>2861</v>
      </c>
      <c r="M1173" t="s">
        <v>1220</v>
      </c>
      <c r="N1173">
        <v>4</v>
      </c>
    </row>
    <row r="1174" spans="1:14" x14ac:dyDescent="0.25">
      <c r="A1174" s="3" t="str">
        <f>HYPERLINK("http://www.ncbi.nlm.nih.gov/gene/81704","81704")</f>
        <v>81704</v>
      </c>
      <c r="B1174" s="1" t="s">
        <v>2863</v>
      </c>
      <c r="C1174" t="s">
        <v>2864</v>
      </c>
      <c r="D1174">
        <v>130.80000000000001</v>
      </c>
      <c r="E1174">
        <v>135.80000000000001</v>
      </c>
      <c r="F1174">
        <v>100</v>
      </c>
      <c r="G1174">
        <v>99.6</v>
      </c>
      <c r="H1174">
        <v>134.30000000000001</v>
      </c>
      <c r="I1174">
        <v>138.19999999999999</v>
      </c>
      <c r="J1174">
        <v>100</v>
      </c>
      <c r="K1174">
        <v>100</v>
      </c>
      <c r="L1174" s="1" t="s">
        <v>2863</v>
      </c>
      <c r="M1174" t="s">
        <v>2586</v>
      </c>
      <c r="N1174">
        <v>5</v>
      </c>
    </row>
    <row r="1175" spans="1:14" x14ac:dyDescent="0.25">
      <c r="A1175" s="3" t="str">
        <f>HYPERLINK("http://www.ncbi.nlm.nih.gov/gene/285489","285489")</f>
        <v>285489</v>
      </c>
      <c r="B1175" s="1" t="s">
        <v>2865</v>
      </c>
      <c r="C1175" t="s">
        <v>2866</v>
      </c>
      <c r="D1175">
        <v>105.9</v>
      </c>
      <c r="E1175">
        <v>103.6</v>
      </c>
      <c r="F1175">
        <v>95.1</v>
      </c>
      <c r="G1175">
        <v>91.6</v>
      </c>
      <c r="H1175">
        <v>144.5</v>
      </c>
      <c r="I1175">
        <v>146.5</v>
      </c>
      <c r="J1175">
        <v>100</v>
      </c>
      <c r="K1175">
        <v>100</v>
      </c>
      <c r="L1175" s="1" t="s">
        <v>2865</v>
      </c>
      <c r="M1175" t="s">
        <v>1147</v>
      </c>
      <c r="N1175">
        <v>4</v>
      </c>
    </row>
    <row r="1176" spans="1:14" x14ac:dyDescent="0.25">
      <c r="A1176" s="3" t="str">
        <f>HYPERLINK("http://www.ncbi.nlm.nih.gov/gene/22845","22845")</f>
        <v>22845</v>
      </c>
      <c r="B1176" s="1" t="s">
        <v>2867</v>
      </c>
      <c r="C1176" t="s">
        <v>2868</v>
      </c>
      <c r="D1176">
        <v>181.3</v>
      </c>
      <c r="E1176">
        <v>187.5</v>
      </c>
      <c r="F1176">
        <v>100</v>
      </c>
      <c r="G1176">
        <v>100</v>
      </c>
      <c r="H1176">
        <v>136.1</v>
      </c>
      <c r="I1176">
        <v>134.9</v>
      </c>
      <c r="J1176">
        <v>100</v>
      </c>
      <c r="K1176">
        <v>100</v>
      </c>
      <c r="L1176" s="1" t="s">
        <v>2867</v>
      </c>
      <c r="M1176" t="s">
        <v>2869</v>
      </c>
      <c r="N1176">
        <v>6</v>
      </c>
    </row>
    <row r="1177" spans="1:14" x14ac:dyDescent="0.25">
      <c r="A1177" s="3" t="str">
        <f>HYPERLINK("http://www.ncbi.nlm.nih.gov/gene/29980","29980")</f>
        <v>29980</v>
      </c>
      <c r="B1177" s="1" t="s">
        <v>2870</v>
      </c>
      <c r="C1177" t="s">
        <v>2871</v>
      </c>
      <c r="D1177">
        <v>108.3</v>
      </c>
      <c r="E1177">
        <v>113.4</v>
      </c>
      <c r="F1177">
        <v>91.7</v>
      </c>
      <c r="G1177">
        <v>85.3</v>
      </c>
      <c r="H1177">
        <v>133.4</v>
      </c>
      <c r="I1177">
        <v>136.80000000000001</v>
      </c>
      <c r="J1177">
        <v>100</v>
      </c>
      <c r="K1177">
        <v>100</v>
      </c>
      <c r="L1177" s="1" t="s">
        <v>2870</v>
      </c>
      <c r="M1177" t="s">
        <v>656</v>
      </c>
      <c r="N1177">
        <v>4</v>
      </c>
    </row>
    <row r="1178" spans="1:14" x14ac:dyDescent="0.25">
      <c r="A1178" s="3" t="str">
        <f>HYPERLINK("http://www.ncbi.nlm.nih.gov/gene/84444","84444")</f>
        <v>84444</v>
      </c>
      <c r="B1178" s="1" t="s">
        <v>2872</v>
      </c>
      <c r="C1178" t="s">
        <v>2873</v>
      </c>
      <c r="D1178">
        <v>157.5</v>
      </c>
      <c r="E1178">
        <v>158.1</v>
      </c>
      <c r="F1178">
        <v>100</v>
      </c>
      <c r="G1178">
        <v>99.5</v>
      </c>
      <c r="H1178">
        <v>133.80000000000001</v>
      </c>
      <c r="I1178">
        <v>134.4</v>
      </c>
      <c r="J1178">
        <v>100</v>
      </c>
      <c r="K1178">
        <v>100</v>
      </c>
      <c r="L1178" s="1" t="s">
        <v>2872</v>
      </c>
      <c r="M1178" t="s">
        <v>1462</v>
      </c>
      <c r="N1178">
        <v>2</v>
      </c>
    </row>
    <row r="1179" spans="1:14" x14ac:dyDescent="0.25">
      <c r="A1179" s="3" t="str">
        <f>HYPERLINK("http://www.ncbi.nlm.nih.gov/gene/1798","1798")</f>
        <v>1798</v>
      </c>
      <c r="B1179" s="1" t="s">
        <v>2874</v>
      </c>
      <c r="C1179" t="s">
        <v>2875</v>
      </c>
      <c r="D1179">
        <v>89.6</v>
      </c>
      <c r="E1179">
        <v>90.7</v>
      </c>
      <c r="F1179">
        <v>100</v>
      </c>
      <c r="G1179">
        <v>100</v>
      </c>
      <c r="H1179">
        <v>138.80000000000001</v>
      </c>
      <c r="I1179">
        <v>143.19999999999999</v>
      </c>
      <c r="J1179">
        <v>100</v>
      </c>
      <c r="K1179">
        <v>100</v>
      </c>
      <c r="L1179" s="1" t="s">
        <v>2874</v>
      </c>
      <c r="M1179" t="s">
        <v>2876</v>
      </c>
      <c r="N1179">
        <v>6</v>
      </c>
    </row>
    <row r="1180" spans="1:14" x14ac:dyDescent="0.25">
      <c r="A1180" s="3" t="str">
        <f>HYPERLINK("http://www.ncbi.nlm.nih.gov/gene/25911","25911")</f>
        <v>25911</v>
      </c>
      <c r="B1180" s="1" t="s">
        <v>2877</v>
      </c>
      <c r="D1180">
        <v>141.6</v>
      </c>
      <c r="E1180">
        <v>146</v>
      </c>
      <c r="F1180">
        <v>100</v>
      </c>
      <c r="G1180">
        <v>100</v>
      </c>
      <c r="H1180">
        <v>129.80000000000001</v>
      </c>
      <c r="I1180">
        <v>132.4</v>
      </c>
      <c r="J1180">
        <v>100</v>
      </c>
      <c r="K1180">
        <v>100</v>
      </c>
      <c r="L1180" s="1" t="s">
        <v>2877</v>
      </c>
      <c r="M1180" t="s">
        <v>1253</v>
      </c>
      <c r="N1180">
        <v>2</v>
      </c>
    </row>
    <row r="1181" spans="1:14" x14ac:dyDescent="0.25">
      <c r="A1181" s="3" t="str">
        <f>HYPERLINK("http://www.ncbi.nlm.nih.gov/gene/5977","5977")</f>
        <v>5977</v>
      </c>
      <c r="B1181" s="1" t="s">
        <v>2878</v>
      </c>
      <c r="C1181" t="s">
        <v>2879</v>
      </c>
      <c r="D1181">
        <v>117.1</v>
      </c>
      <c r="E1181">
        <v>121.2</v>
      </c>
      <c r="F1181">
        <v>99.9</v>
      </c>
      <c r="G1181">
        <v>98.4</v>
      </c>
      <c r="H1181">
        <v>133.6</v>
      </c>
      <c r="I1181">
        <v>136.4</v>
      </c>
      <c r="J1181">
        <v>100</v>
      </c>
      <c r="K1181">
        <v>100</v>
      </c>
      <c r="L1181" s="1" t="s">
        <v>2878</v>
      </c>
      <c r="M1181" t="s">
        <v>189</v>
      </c>
      <c r="N1181">
        <v>2</v>
      </c>
    </row>
    <row r="1182" spans="1:14" x14ac:dyDescent="0.25">
      <c r="A1182" s="3" t="str">
        <f>HYPERLINK("http://www.ncbi.nlm.nih.gov/gene/1801","1801")</f>
        <v>1801</v>
      </c>
      <c r="B1182" s="1" t="s">
        <v>2880</v>
      </c>
      <c r="C1182" t="s">
        <v>2881</v>
      </c>
      <c r="D1182">
        <v>161.69999999999999</v>
      </c>
      <c r="E1182">
        <v>166.2</v>
      </c>
      <c r="F1182">
        <v>100</v>
      </c>
      <c r="G1182">
        <v>99.9</v>
      </c>
      <c r="H1182">
        <v>151.19999999999999</v>
      </c>
      <c r="I1182">
        <v>154.80000000000001</v>
      </c>
      <c r="J1182">
        <v>100</v>
      </c>
      <c r="K1182">
        <v>100</v>
      </c>
      <c r="L1182" s="1" t="s">
        <v>2880</v>
      </c>
      <c r="M1182" t="s">
        <v>228</v>
      </c>
      <c r="N1182">
        <v>3</v>
      </c>
    </row>
    <row r="1183" spans="1:14" x14ac:dyDescent="0.25">
      <c r="A1183" s="3" t="str">
        <f>HYPERLINK("http://www.ncbi.nlm.nih.gov/gene/8813","8813")</f>
        <v>8813</v>
      </c>
      <c r="B1183" s="1" t="s">
        <v>2882</v>
      </c>
      <c r="C1183" t="s">
        <v>2883</v>
      </c>
      <c r="D1183">
        <v>150.30000000000001</v>
      </c>
      <c r="E1183">
        <v>155.69999999999999</v>
      </c>
      <c r="F1183">
        <v>98.2</v>
      </c>
      <c r="G1183">
        <v>91.3</v>
      </c>
      <c r="H1183">
        <v>127.9</v>
      </c>
      <c r="I1183">
        <v>131.5</v>
      </c>
      <c r="J1183">
        <v>99.7</v>
      </c>
      <c r="K1183">
        <v>97.1</v>
      </c>
      <c r="L1183" s="1" t="s">
        <v>2882</v>
      </c>
      <c r="M1183" t="s">
        <v>2884</v>
      </c>
      <c r="N1183">
        <v>7</v>
      </c>
    </row>
    <row r="1184" spans="1:14" x14ac:dyDescent="0.25">
      <c r="A1184" s="3" t="str">
        <f>HYPERLINK("http://www.ncbi.nlm.nih.gov/gene/8818","8818")</f>
        <v>8818</v>
      </c>
      <c r="B1184" s="1" t="s">
        <v>2885</v>
      </c>
      <c r="C1184" t="s">
        <v>2886</v>
      </c>
      <c r="D1184">
        <v>93.9</v>
      </c>
      <c r="E1184">
        <v>98.8</v>
      </c>
      <c r="F1184">
        <v>100</v>
      </c>
      <c r="G1184">
        <v>98.7</v>
      </c>
      <c r="H1184">
        <v>175.5</v>
      </c>
      <c r="I1184">
        <v>179.1</v>
      </c>
      <c r="J1184">
        <v>100</v>
      </c>
      <c r="K1184">
        <v>100</v>
      </c>
      <c r="L1184" s="1" t="s">
        <v>2885</v>
      </c>
      <c r="M1184" t="s">
        <v>2887</v>
      </c>
      <c r="N1184">
        <v>5</v>
      </c>
    </row>
    <row r="1185" spans="1:14" x14ac:dyDescent="0.25">
      <c r="A1185" s="3" t="str">
        <f>HYPERLINK("http://www.ncbi.nlm.nih.gov/gene/54344","54344")</f>
        <v>54344</v>
      </c>
      <c r="B1185" s="1" t="s">
        <v>2888</v>
      </c>
      <c r="C1185" t="s">
        <v>2889</v>
      </c>
      <c r="D1185">
        <v>234.1</v>
      </c>
      <c r="E1185">
        <v>225.1</v>
      </c>
      <c r="F1185">
        <v>100</v>
      </c>
      <c r="G1185">
        <v>100</v>
      </c>
      <c r="H1185">
        <v>149.5</v>
      </c>
      <c r="I1185">
        <v>153</v>
      </c>
      <c r="J1185">
        <v>100</v>
      </c>
      <c r="K1185">
        <v>100</v>
      </c>
      <c r="L1185" s="1" t="s">
        <v>2888</v>
      </c>
      <c r="M1185" t="s">
        <v>131</v>
      </c>
      <c r="N1185">
        <v>5</v>
      </c>
    </row>
    <row r="1186" spans="1:14" x14ac:dyDescent="0.25">
      <c r="A1186" s="3" t="str">
        <f>HYPERLINK("http://www.ncbi.nlm.nih.gov/gene/1804","1804")</f>
        <v>1804</v>
      </c>
      <c r="B1186" s="1" t="s">
        <v>2890</v>
      </c>
      <c r="C1186" t="s">
        <v>2891</v>
      </c>
      <c r="D1186">
        <v>139.9</v>
      </c>
      <c r="E1186">
        <v>139.5</v>
      </c>
      <c r="F1186">
        <v>99.7</v>
      </c>
      <c r="G1186">
        <v>97.8</v>
      </c>
      <c r="H1186">
        <v>133</v>
      </c>
      <c r="I1186">
        <v>135.1</v>
      </c>
      <c r="J1186">
        <v>99.4</v>
      </c>
      <c r="K1186">
        <v>97.6</v>
      </c>
      <c r="L1186" s="1" t="s">
        <v>2890</v>
      </c>
      <c r="M1186" t="s">
        <v>2892</v>
      </c>
      <c r="N1186">
        <v>3</v>
      </c>
    </row>
    <row r="1187" spans="1:14" x14ac:dyDescent="0.25">
      <c r="A1187" s="3" t="str">
        <f>HYPERLINK("http://www.ncbi.nlm.nih.gov/gene/283417","283417")</f>
        <v>283417</v>
      </c>
      <c r="B1187" s="1" t="s">
        <v>2893</v>
      </c>
      <c r="C1187" t="s">
        <v>2894</v>
      </c>
      <c r="D1187">
        <v>98.3</v>
      </c>
      <c r="E1187">
        <v>101.2</v>
      </c>
      <c r="F1187">
        <v>74.5</v>
      </c>
      <c r="G1187">
        <v>71.2</v>
      </c>
      <c r="H1187">
        <v>124.3</v>
      </c>
      <c r="I1187">
        <v>127.9</v>
      </c>
      <c r="J1187">
        <v>100</v>
      </c>
      <c r="K1187">
        <v>100</v>
      </c>
      <c r="L1187" s="1" t="s">
        <v>2893</v>
      </c>
      <c r="M1187" t="s">
        <v>53</v>
      </c>
      <c r="N1187">
        <v>2</v>
      </c>
    </row>
    <row r="1188" spans="1:14" x14ac:dyDescent="0.25">
      <c r="A1188" s="3" t="str">
        <f>HYPERLINK("http://www.ncbi.nlm.nih.gov/gene/1806","1806")</f>
        <v>1806</v>
      </c>
      <c r="B1188" s="1" t="s">
        <v>2895</v>
      </c>
      <c r="C1188" t="s">
        <v>2896</v>
      </c>
      <c r="D1188">
        <v>166.7</v>
      </c>
      <c r="E1188">
        <v>173</v>
      </c>
      <c r="F1188">
        <v>99.7</v>
      </c>
      <c r="G1188">
        <v>97.7</v>
      </c>
      <c r="H1188">
        <v>136.1</v>
      </c>
      <c r="I1188">
        <v>140.30000000000001</v>
      </c>
      <c r="J1188">
        <v>100</v>
      </c>
      <c r="K1188">
        <v>100</v>
      </c>
      <c r="L1188" s="1" t="s">
        <v>2895</v>
      </c>
      <c r="M1188" t="s">
        <v>214</v>
      </c>
      <c r="N1188">
        <v>5</v>
      </c>
    </row>
    <row r="1189" spans="1:14" x14ac:dyDescent="0.25">
      <c r="A1189" s="3" t="str">
        <f>HYPERLINK("http://www.ncbi.nlm.nih.gov/gene/1807","1807")</f>
        <v>1807</v>
      </c>
      <c r="B1189" s="1" t="s">
        <v>2897</v>
      </c>
      <c r="C1189" t="s">
        <v>2898</v>
      </c>
      <c r="D1189">
        <v>130.1</v>
      </c>
      <c r="E1189">
        <v>137.1</v>
      </c>
      <c r="F1189">
        <v>100</v>
      </c>
      <c r="G1189">
        <v>99.9</v>
      </c>
      <c r="H1189">
        <v>152.80000000000001</v>
      </c>
      <c r="I1189">
        <v>158.6</v>
      </c>
      <c r="J1189">
        <v>100</v>
      </c>
      <c r="K1189">
        <v>100</v>
      </c>
      <c r="L1189" s="1" t="s">
        <v>2897</v>
      </c>
      <c r="M1189" t="s">
        <v>449</v>
      </c>
      <c r="N1189">
        <v>6</v>
      </c>
    </row>
    <row r="1190" spans="1:14" x14ac:dyDescent="0.25">
      <c r="A1190" s="3" t="str">
        <f>HYPERLINK("http://www.ncbi.nlm.nih.gov/gene/128338","128338")</f>
        <v>128338</v>
      </c>
      <c r="B1190" s="1" t="s">
        <v>2899</v>
      </c>
      <c r="C1190" t="s">
        <v>2900</v>
      </c>
      <c r="D1190">
        <v>151.4</v>
      </c>
      <c r="E1190">
        <v>158.69999999999999</v>
      </c>
      <c r="F1190">
        <v>100</v>
      </c>
      <c r="G1190">
        <v>99.9</v>
      </c>
      <c r="H1190">
        <v>128.30000000000001</v>
      </c>
      <c r="I1190">
        <v>131.5</v>
      </c>
      <c r="J1190">
        <v>100</v>
      </c>
      <c r="K1190">
        <v>100</v>
      </c>
      <c r="L1190" s="1" t="s">
        <v>2899</v>
      </c>
      <c r="M1190" t="s">
        <v>56</v>
      </c>
      <c r="N1190">
        <v>3</v>
      </c>
    </row>
    <row r="1191" spans="1:14" x14ac:dyDescent="0.25">
      <c r="A1191" s="3" t="str">
        <f>HYPERLINK("http://www.ncbi.nlm.nih.gov/gene/92749","92749")</f>
        <v>92749</v>
      </c>
      <c r="B1191" s="1" t="s">
        <v>2901</v>
      </c>
      <c r="C1191" t="s">
        <v>2902</v>
      </c>
      <c r="D1191">
        <v>99.3</v>
      </c>
      <c r="E1191">
        <v>102.4</v>
      </c>
      <c r="F1191">
        <v>100</v>
      </c>
      <c r="G1191">
        <v>99.5</v>
      </c>
      <c r="H1191">
        <v>127.9</v>
      </c>
      <c r="I1191">
        <v>131.5</v>
      </c>
      <c r="J1191">
        <v>100</v>
      </c>
      <c r="K1191">
        <v>100</v>
      </c>
      <c r="L1191" s="1" t="s">
        <v>2901</v>
      </c>
      <c r="M1191" t="s">
        <v>1483</v>
      </c>
      <c r="N1191">
        <v>3</v>
      </c>
    </row>
    <row r="1192" spans="1:14" x14ac:dyDescent="0.25">
      <c r="A1192" s="3" t="str">
        <f>HYPERLINK("http://www.ncbi.nlm.nih.gov/gene/1815","1815")</f>
        <v>1815</v>
      </c>
      <c r="B1192" s="1" t="s">
        <v>2903</v>
      </c>
      <c r="C1192" t="s">
        <v>2904</v>
      </c>
      <c r="D1192">
        <v>91.7</v>
      </c>
      <c r="E1192">
        <v>88.2</v>
      </c>
      <c r="F1192">
        <v>93.8</v>
      </c>
      <c r="G1192">
        <v>81.8</v>
      </c>
      <c r="H1192">
        <v>133.19999999999999</v>
      </c>
      <c r="I1192">
        <v>138.30000000000001</v>
      </c>
      <c r="J1192">
        <v>100</v>
      </c>
      <c r="K1192">
        <v>99.7</v>
      </c>
      <c r="L1192" s="1" t="s">
        <v>2903</v>
      </c>
      <c r="M1192" t="s">
        <v>22</v>
      </c>
      <c r="N1192">
        <v>1</v>
      </c>
    </row>
    <row r="1193" spans="1:14" x14ac:dyDescent="0.25">
      <c r="A1193" s="3" t="str">
        <f>HYPERLINK("http://www.ncbi.nlm.nih.gov/gene/1821","1821")</f>
        <v>1821</v>
      </c>
      <c r="B1193" s="1" t="s">
        <v>2905</v>
      </c>
      <c r="C1193" t="s">
        <v>2906</v>
      </c>
      <c r="D1193">
        <v>89.4</v>
      </c>
      <c r="E1193">
        <v>92.3</v>
      </c>
      <c r="F1193">
        <v>99.1</v>
      </c>
      <c r="G1193">
        <v>96.5</v>
      </c>
      <c r="H1193">
        <v>134.30000000000001</v>
      </c>
      <c r="I1193">
        <v>138.19999999999999</v>
      </c>
      <c r="J1193">
        <v>100</v>
      </c>
      <c r="K1193">
        <v>99.9</v>
      </c>
      <c r="L1193" s="1" t="s">
        <v>2905</v>
      </c>
      <c r="M1193" t="s">
        <v>2907</v>
      </c>
      <c r="N1193">
        <v>2</v>
      </c>
    </row>
    <row r="1194" spans="1:14" x14ac:dyDescent="0.25">
      <c r="A1194" s="3" t="str">
        <f>HYPERLINK("http://www.ncbi.nlm.nih.gov/gene/1824","1824")</f>
        <v>1824</v>
      </c>
      <c r="B1194" s="1" t="s">
        <v>2908</v>
      </c>
      <c r="C1194" t="s">
        <v>2909</v>
      </c>
      <c r="D1194">
        <v>145.4</v>
      </c>
      <c r="E1194">
        <v>152.6</v>
      </c>
      <c r="F1194">
        <v>99.8</v>
      </c>
      <c r="G1194">
        <v>98.4</v>
      </c>
      <c r="H1194">
        <v>145.6</v>
      </c>
      <c r="I1194">
        <v>150.30000000000001</v>
      </c>
      <c r="J1194">
        <v>100</v>
      </c>
      <c r="K1194">
        <v>100</v>
      </c>
      <c r="L1194" s="1" t="s">
        <v>2908</v>
      </c>
      <c r="M1194" t="s">
        <v>2910</v>
      </c>
      <c r="N1194">
        <v>4</v>
      </c>
    </row>
    <row r="1195" spans="1:14" x14ac:dyDescent="0.25">
      <c r="A1195" s="3" t="str">
        <f>HYPERLINK("http://www.ncbi.nlm.nih.gov/gene/1825","1825")</f>
        <v>1825</v>
      </c>
      <c r="B1195" s="1" t="s">
        <v>2911</v>
      </c>
      <c r="C1195" t="s">
        <v>2912</v>
      </c>
      <c r="D1195">
        <v>109.7</v>
      </c>
      <c r="E1195">
        <v>116</v>
      </c>
      <c r="F1195">
        <v>99.5</v>
      </c>
      <c r="G1195">
        <v>96.8</v>
      </c>
      <c r="H1195">
        <v>145.69999999999999</v>
      </c>
      <c r="I1195">
        <v>150.4</v>
      </c>
      <c r="J1195">
        <v>100</v>
      </c>
      <c r="K1195">
        <v>100</v>
      </c>
      <c r="L1195" s="1" t="s">
        <v>2911</v>
      </c>
      <c r="M1195" t="s">
        <v>246</v>
      </c>
      <c r="N1195">
        <v>3</v>
      </c>
    </row>
    <row r="1196" spans="1:14" x14ac:dyDescent="0.25">
      <c r="A1196" s="3" t="str">
        <f>HYPERLINK("http://www.ncbi.nlm.nih.gov/gene/29940","29940")</f>
        <v>29940</v>
      </c>
      <c r="B1196" s="1" t="s">
        <v>2913</v>
      </c>
      <c r="C1196" t="s">
        <v>2914</v>
      </c>
      <c r="D1196">
        <v>107.9</v>
      </c>
      <c r="E1196">
        <v>98.9</v>
      </c>
      <c r="F1196">
        <v>99</v>
      </c>
      <c r="G1196">
        <v>96.1</v>
      </c>
      <c r="H1196">
        <v>138.30000000000001</v>
      </c>
      <c r="I1196">
        <v>138.30000000000001</v>
      </c>
      <c r="J1196">
        <v>100</v>
      </c>
      <c r="K1196">
        <v>100</v>
      </c>
      <c r="L1196" s="1" t="s">
        <v>2913</v>
      </c>
      <c r="M1196" t="s">
        <v>239</v>
      </c>
      <c r="N1196">
        <v>4</v>
      </c>
    </row>
    <row r="1197" spans="1:14" x14ac:dyDescent="0.25">
      <c r="A1197" s="3" t="str">
        <f>HYPERLINK("http://www.ncbi.nlm.nih.gov/gene/1828","1828")</f>
        <v>1828</v>
      </c>
      <c r="B1197" s="1" t="s">
        <v>2915</v>
      </c>
      <c r="C1197" t="s">
        <v>2916</v>
      </c>
      <c r="D1197">
        <v>160.80000000000001</v>
      </c>
      <c r="E1197">
        <v>168</v>
      </c>
      <c r="F1197">
        <v>99.3</v>
      </c>
      <c r="G1197">
        <v>97.5</v>
      </c>
      <c r="H1197">
        <v>138.80000000000001</v>
      </c>
      <c r="I1197">
        <v>142.5</v>
      </c>
      <c r="J1197">
        <v>100</v>
      </c>
      <c r="K1197">
        <v>100</v>
      </c>
      <c r="L1197" s="1" t="s">
        <v>2915</v>
      </c>
      <c r="M1197" t="s">
        <v>2917</v>
      </c>
      <c r="N1197">
        <v>2</v>
      </c>
    </row>
    <row r="1198" spans="1:14" x14ac:dyDescent="0.25">
      <c r="A1198" s="3" t="str">
        <f>HYPERLINK("http://www.ncbi.nlm.nih.gov/gene/1829","1829")</f>
        <v>1829</v>
      </c>
      <c r="B1198" s="1" t="s">
        <v>2918</v>
      </c>
      <c r="C1198" t="s">
        <v>2919</v>
      </c>
      <c r="D1198">
        <v>147</v>
      </c>
      <c r="E1198">
        <v>151.4</v>
      </c>
      <c r="F1198">
        <v>100</v>
      </c>
      <c r="G1198">
        <v>99.6</v>
      </c>
      <c r="H1198">
        <v>145.4</v>
      </c>
      <c r="I1198">
        <v>148.19999999999999</v>
      </c>
      <c r="J1198">
        <v>100</v>
      </c>
      <c r="K1198">
        <v>100</v>
      </c>
      <c r="L1198" s="1" t="s">
        <v>2918</v>
      </c>
      <c r="M1198" t="s">
        <v>197</v>
      </c>
      <c r="N1198">
        <v>2</v>
      </c>
    </row>
    <row r="1199" spans="1:14" x14ac:dyDescent="0.25">
      <c r="A1199" s="3" t="str">
        <f>HYPERLINK("http://www.ncbi.nlm.nih.gov/gene/1830","1830")</f>
        <v>1830</v>
      </c>
      <c r="B1199" s="1" t="s">
        <v>2920</v>
      </c>
      <c r="C1199" t="s">
        <v>2921</v>
      </c>
      <c r="D1199">
        <v>165.3</v>
      </c>
      <c r="E1199">
        <v>165.4</v>
      </c>
      <c r="F1199">
        <v>99.9</v>
      </c>
      <c r="G1199">
        <v>99.4</v>
      </c>
      <c r="H1199">
        <v>144.4</v>
      </c>
      <c r="I1199">
        <v>148.1</v>
      </c>
      <c r="J1199">
        <v>100</v>
      </c>
      <c r="K1199">
        <v>100</v>
      </c>
      <c r="L1199" s="1" t="s">
        <v>2920</v>
      </c>
      <c r="M1199" t="s">
        <v>47</v>
      </c>
      <c r="N1199">
        <v>2</v>
      </c>
    </row>
    <row r="1200" spans="1:14" x14ac:dyDescent="0.25">
      <c r="A1200" s="3" t="str">
        <f>HYPERLINK("http://www.ncbi.nlm.nih.gov/gene/147409","147409")</f>
        <v>147409</v>
      </c>
      <c r="B1200" s="1" t="s">
        <v>2922</v>
      </c>
      <c r="C1200" t="s">
        <v>2923</v>
      </c>
      <c r="D1200">
        <v>187.9</v>
      </c>
      <c r="E1200">
        <v>191.9</v>
      </c>
      <c r="F1200">
        <v>100</v>
      </c>
      <c r="G1200">
        <v>99.2</v>
      </c>
      <c r="H1200">
        <v>139.5</v>
      </c>
      <c r="I1200">
        <v>142.69999999999999</v>
      </c>
      <c r="J1200">
        <v>100</v>
      </c>
      <c r="K1200">
        <v>100</v>
      </c>
      <c r="L1200" s="1" t="s">
        <v>2922</v>
      </c>
      <c r="M1200" t="s">
        <v>246</v>
      </c>
      <c r="N1200">
        <v>3</v>
      </c>
    </row>
    <row r="1201" spans="1:14" x14ac:dyDescent="0.25">
      <c r="A1201" s="3" t="str">
        <f>HYPERLINK("http://www.ncbi.nlm.nih.gov/gene/1832","1832")</f>
        <v>1832</v>
      </c>
      <c r="B1201" s="1" t="s">
        <v>2924</v>
      </c>
      <c r="C1201" t="s">
        <v>2925</v>
      </c>
      <c r="D1201">
        <v>151.4</v>
      </c>
      <c r="E1201">
        <v>152.6</v>
      </c>
      <c r="F1201">
        <v>100</v>
      </c>
      <c r="G1201">
        <v>99.6</v>
      </c>
      <c r="H1201">
        <v>132.30000000000001</v>
      </c>
      <c r="I1201">
        <v>133.69999999999999</v>
      </c>
      <c r="J1201">
        <v>100</v>
      </c>
      <c r="K1201">
        <v>100</v>
      </c>
      <c r="L1201" s="1" t="s">
        <v>2924</v>
      </c>
      <c r="M1201" t="s">
        <v>2926</v>
      </c>
      <c r="N1201">
        <v>4</v>
      </c>
    </row>
    <row r="1202" spans="1:14" x14ac:dyDescent="0.25">
      <c r="A1202" s="3" t="str">
        <f>HYPERLINK("http://www.ncbi.nlm.nih.gov/gene/1834","1834")</f>
        <v>1834</v>
      </c>
      <c r="B1202" s="1" t="s">
        <v>2927</v>
      </c>
      <c r="C1202" t="s">
        <v>2928</v>
      </c>
      <c r="D1202">
        <v>109.2</v>
      </c>
      <c r="E1202">
        <v>67.8</v>
      </c>
      <c r="F1202">
        <v>96.8</v>
      </c>
      <c r="G1202">
        <v>86.1</v>
      </c>
      <c r="H1202">
        <v>242.9</v>
      </c>
      <c r="I1202">
        <v>262.5</v>
      </c>
      <c r="J1202">
        <v>100</v>
      </c>
      <c r="K1202">
        <v>100</v>
      </c>
      <c r="L1202" s="1" t="s">
        <v>2927</v>
      </c>
      <c r="M1202" t="s">
        <v>2929</v>
      </c>
      <c r="N1202">
        <v>4</v>
      </c>
    </row>
    <row r="1203" spans="1:14" x14ac:dyDescent="0.25">
      <c r="A1203" s="3" t="str">
        <f>HYPERLINK("http://www.ncbi.nlm.nih.gov/gene/667","667")</f>
        <v>667</v>
      </c>
      <c r="B1203" s="1" t="s">
        <v>2930</v>
      </c>
      <c r="C1203" t="s">
        <v>2931</v>
      </c>
      <c r="D1203">
        <v>166.9</v>
      </c>
      <c r="E1203">
        <v>168.2</v>
      </c>
      <c r="F1203">
        <v>95.5</v>
      </c>
      <c r="G1203">
        <v>95</v>
      </c>
      <c r="H1203">
        <v>143.30000000000001</v>
      </c>
      <c r="I1203">
        <v>145.69999999999999</v>
      </c>
      <c r="J1203">
        <v>95.6</v>
      </c>
      <c r="K1203">
        <v>95.6</v>
      </c>
      <c r="L1203" s="1" t="s">
        <v>2930</v>
      </c>
      <c r="M1203" t="s">
        <v>2932</v>
      </c>
      <c r="N1203">
        <v>4</v>
      </c>
    </row>
    <row r="1204" spans="1:14" x14ac:dyDescent="0.25">
      <c r="A1204" s="3" t="str">
        <f>HYPERLINK("http://www.ncbi.nlm.nih.gov/gene/25778","25778")</f>
        <v>25778</v>
      </c>
      <c r="B1204" s="1" t="s">
        <v>2933</v>
      </c>
      <c r="C1204" t="s">
        <v>2934</v>
      </c>
      <c r="D1204">
        <v>137.9</v>
      </c>
      <c r="E1204">
        <v>138</v>
      </c>
      <c r="F1204">
        <v>99.9</v>
      </c>
      <c r="G1204">
        <v>99.2</v>
      </c>
      <c r="H1204">
        <v>146.4</v>
      </c>
      <c r="I1204">
        <v>151</v>
      </c>
      <c r="J1204">
        <v>100</v>
      </c>
      <c r="K1204">
        <v>100</v>
      </c>
      <c r="L1204" s="1" t="s">
        <v>2933</v>
      </c>
      <c r="M1204" t="s">
        <v>2935</v>
      </c>
      <c r="N1204">
        <v>3</v>
      </c>
    </row>
    <row r="1205" spans="1:14" x14ac:dyDescent="0.25">
      <c r="A1205" s="3" t="str">
        <f>HYPERLINK("http://www.ncbi.nlm.nih.gov/gene/1837","1837")</f>
        <v>1837</v>
      </c>
      <c r="B1205" s="1" t="s">
        <v>2936</v>
      </c>
      <c r="C1205" t="s">
        <v>2937</v>
      </c>
      <c r="D1205">
        <v>146.30000000000001</v>
      </c>
      <c r="E1205">
        <v>151.69999999999999</v>
      </c>
      <c r="F1205">
        <v>100</v>
      </c>
      <c r="G1205">
        <v>99.9</v>
      </c>
      <c r="H1205">
        <v>141.6</v>
      </c>
      <c r="I1205">
        <v>145.4</v>
      </c>
      <c r="J1205">
        <v>100</v>
      </c>
      <c r="K1205">
        <v>100</v>
      </c>
      <c r="L1205" s="1" t="s">
        <v>2936</v>
      </c>
      <c r="M1205" t="s">
        <v>197</v>
      </c>
      <c r="N1205">
        <v>2</v>
      </c>
    </row>
    <row r="1206" spans="1:14" x14ac:dyDescent="0.25">
      <c r="A1206" s="3" t="str">
        <f>HYPERLINK("http://www.ncbi.nlm.nih.gov/gene/84062","84062")</f>
        <v>84062</v>
      </c>
      <c r="B1206" s="1" t="s">
        <v>2938</v>
      </c>
      <c r="C1206" t="s">
        <v>2939</v>
      </c>
      <c r="D1206">
        <v>123.4</v>
      </c>
      <c r="E1206">
        <v>126.7</v>
      </c>
      <c r="F1206">
        <v>99.8</v>
      </c>
      <c r="G1206">
        <v>98.7</v>
      </c>
      <c r="H1206">
        <v>128.6</v>
      </c>
      <c r="I1206">
        <v>133</v>
      </c>
      <c r="J1206">
        <v>100</v>
      </c>
      <c r="K1206">
        <v>100</v>
      </c>
      <c r="L1206" s="1" t="s">
        <v>2938</v>
      </c>
      <c r="M1206" t="s">
        <v>1157</v>
      </c>
      <c r="N1206">
        <v>5</v>
      </c>
    </row>
    <row r="1207" spans="1:14" x14ac:dyDescent="0.25">
      <c r="A1207" s="3" t="str">
        <f>HYPERLINK("http://www.ncbi.nlm.nih.gov/gene/1841","1841")</f>
        <v>1841</v>
      </c>
      <c r="B1207" s="1" t="s">
        <v>2940</v>
      </c>
      <c r="C1207" t="s">
        <v>2941</v>
      </c>
      <c r="D1207">
        <v>124.5</v>
      </c>
      <c r="E1207">
        <v>130.6</v>
      </c>
      <c r="F1207">
        <v>100</v>
      </c>
      <c r="G1207">
        <v>99.8</v>
      </c>
      <c r="H1207">
        <v>112.9</v>
      </c>
      <c r="I1207">
        <v>116.7</v>
      </c>
      <c r="J1207">
        <v>100</v>
      </c>
      <c r="K1207">
        <v>100</v>
      </c>
      <c r="L1207" s="1" t="s">
        <v>2940</v>
      </c>
      <c r="M1207" t="s">
        <v>93</v>
      </c>
      <c r="N1207">
        <v>2</v>
      </c>
    </row>
    <row r="1208" spans="1:14" x14ac:dyDescent="0.25">
      <c r="A1208" s="3" t="str">
        <f>HYPERLINK("http://www.ncbi.nlm.nih.gov/gene/50506","50506")</f>
        <v>50506</v>
      </c>
      <c r="B1208" s="1" t="s">
        <v>2942</v>
      </c>
      <c r="C1208" t="s">
        <v>2943</v>
      </c>
      <c r="D1208">
        <v>133.5</v>
      </c>
      <c r="E1208">
        <v>137.9</v>
      </c>
      <c r="F1208">
        <v>96.7</v>
      </c>
      <c r="G1208">
        <v>94.7</v>
      </c>
      <c r="H1208">
        <v>148.6</v>
      </c>
      <c r="I1208">
        <v>152.9</v>
      </c>
      <c r="J1208">
        <v>100</v>
      </c>
      <c r="K1208">
        <v>100</v>
      </c>
      <c r="L1208" s="1" t="s">
        <v>2942</v>
      </c>
      <c r="M1208" t="s">
        <v>53</v>
      </c>
      <c r="N1208">
        <v>2</v>
      </c>
    </row>
    <row r="1209" spans="1:14" x14ac:dyDescent="0.25">
      <c r="A1209" s="3" t="str">
        <f>HYPERLINK("http://www.ncbi.nlm.nih.gov/gene/405753","405753")</f>
        <v>405753</v>
      </c>
      <c r="B1209" s="1" t="s">
        <v>2944</v>
      </c>
      <c r="C1209" t="s">
        <v>2945</v>
      </c>
      <c r="D1209">
        <v>144</v>
      </c>
      <c r="E1209">
        <v>149.69999999999999</v>
      </c>
      <c r="F1209">
        <v>100</v>
      </c>
      <c r="G1209">
        <v>100</v>
      </c>
      <c r="H1209">
        <v>149.6</v>
      </c>
      <c r="I1209">
        <v>153</v>
      </c>
      <c r="J1209">
        <v>100</v>
      </c>
      <c r="K1209">
        <v>100</v>
      </c>
      <c r="L1209" s="1" t="s">
        <v>2944</v>
      </c>
      <c r="M1209" t="s">
        <v>53</v>
      </c>
      <c r="N1209">
        <v>2</v>
      </c>
    </row>
    <row r="1210" spans="1:14" x14ac:dyDescent="0.25">
      <c r="A1210" s="3" t="str">
        <f>HYPERLINK("http://www.ncbi.nlm.nih.gov/gene/1848","1848")</f>
        <v>1848</v>
      </c>
      <c r="B1210" s="1" t="s">
        <v>2946</v>
      </c>
      <c r="C1210" t="s">
        <v>2947</v>
      </c>
      <c r="D1210">
        <v>152.19999999999999</v>
      </c>
      <c r="E1210">
        <v>157.9</v>
      </c>
      <c r="F1210">
        <v>100</v>
      </c>
      <c r="G1210">
        <v>100</v>
      </c>
      <c r="H1210">
        <v>153.69999999999999</v>
      </c>
      <c r="I1210">
        <v>157.69999999999999</v>
      </c>
      <c r="J1210">
        <v>100</v>
      </c>
      <c r="K1210">
        <v>100</v>
      </c>
      <c r="L1210" s="1" t="s">
        <v>2946</v>
      </c>
      <c r="M1210" t="s">
        <v>2948</v>
      </c>
      <c r="N1210">
        <v>4</v>
      </c>
    </row>
    <row r="1211" spans="1:14" x14ac:dyDescent="0.25">
      <c r="A1211" s="3" t="str">
        <f>HYPERLINK("http://www.ncbi.nlm.nih.gov/gene/1855","1855")</f>
        <v>1855</v>
      </c>
      <c r="B1211" s="1" t="s">
        <v>2949</v>
      </c>
      <c r="C1211" t="s">
        <v>2950</v>
      </c>
      <c r="D1211">
        <v>136.9</v>
      </c>
      <c r="E1211">
        <v>137.30000000000001</v>
      </c>
      <c r="F1211">
        <v>97.2</v>
      </c>
      <c r="G1211">
        <v>95</v>
      </c>
      <c r="H1211">
        <v>165.7</v>
      </c>
      <c r="I1211">
        <v>170.4</v>
      </c>
      <c r="J1211">
        <v>100</v>
      </c>
      <c r="K1211">
        <v>100</v>
      </c>
      <c r="L1211" s="1" t="s">
        <v>2949</v>
      </c>
      <c r="M1211" t="s">
        <v>2719</v>
      </c>
      <c r="N1211">
        <v>3</v>
      </c>
    </row>
    <row r="1212" spans="1:14" x14ac:dyDescent="0.25">
      <c r="A1212" s="3" t="str">
        <f>HYPERLINK("http://www.ncbi.nlm.nih.gov/gene/1857","1857")</f>
        <v>1857</v>
      </c>
      <c r="B1212" s="1" t="s">
        <v>2951</v>
      </c>
      <c r="C1212" t="s">
        <v>2952</v>
      </c>
      <c r="D1212">
        <v>189.9</v>
      </c>
      <c r="E1212">
        <v>192.3</v>
      </c>
      <c r="F1212">
        <v>100</v>
      </c>
      <c r="G1212">
        <v>100</v>
      </c>
      <c r="H1212">
        <v>155.69999999999999</v>
      </c>
      <c r="I1212">
        <v>157.80000000000001</v>
      </c>
      <c r="J1212">
        <v>100</v>
      </c>
      <c r="K1212">
        <v>100</v>
      </c>
      <c r="L1212" s="1" t="s">
        <v>2951</v>
      </c>
      <c r="M1212" t="s">
        <v>2719</v>
      </c>
      <c r="N1212">
        <v>3</v>
      </c>
    </row>
    <row r="1213" spans="1:14" x14ac:dyDescent="0.25">
      <c r="A1213" s="3" t="str">
        <f>HYPERLINK("http://www.ncbi.nlm.nih.gov/gene/54808","54808")</f>
        <v>54808</v>
      </c>
      <c r="B1213" s="1" t="s">
        <v>2953</v>
      </c>
      <c r="C1213" t="s">
        <v>2954</v>
      </c>
      <c r="D1213">
        <v>116.2</v>
      </c>
      <c r="E1213">
        <v>122.2</v>
      </c>
      <c r="F1213">
        <v>97.4</v>
      </c>
      <c r="G1213">
        <v>96.5</v>
      </c>
      <c r="H1213">
        <v>124</v>
      </c>
      <c r="I1213">
        <v>128</v>
      </c>
      <c r="J1213">
        <v>100</v>
      </c>
      <c r="K1213">
        <v>100</v>
      </c>
      <c r="L1213" s="1" t="s">
        <v>2953</v>
      </c>
      <c r="M1213" t="s">
        <v>656</v>
      </c>
      <c r="N1213">
        <v>4</v>
      </c>
    </row>
    <row r="1214" spans="1:14" x14ac:dyDescent="0.25">
      <c r="A1214" s="3" t="str">
        <f>HYPERLINK("http://www.ncbi.nlm.nih.gov/gene/1778","1778")</f>
        <v>1778</v>
      </c>
      <c r="B1214" s="1" t="s">
        <v>2955</v>
      </c>
      <c r="C1214" t="s">
        <v>2956</v>
      </c>
      <c r="D1214">
        <v>151.69999999999999</v>
      </c>
      <c r="E1214">
        <v>157.5</v>
      </c>
      <c r="F1214">
        <v>99.9</v>
      </c>
      <c r="G1214">
        <v>99.4</v>
      </c>
      <c r="H1214">
        <v>132.30000000000001</v>
      </c>
      <c r="I1214">
        <v>135.9</v>
      </c>
      <c r="J1214">
        <v>100</v>
      </c>
      <c r="K1214">
        <v>100</v>
      </c>
      <c r="L1214" s="1" t="s">
        <v>2955</v>
      </c>
      <c r="M1214" t="s">
        <v>2957</v>
      </c>
      <c r="N1214">
        <v>6</v>
      </c>
    </row>
    <row r="1215" spans="1:14" x14ac:dyDescent="0.25">
      <c r="A1215" s="3" t="str">
        <f>HYPERLINK("http://www.ncbi.nlm.nih.gov/gene/1781","1781")</f>
        <v>1781</v>
      </c>
      <c r="B1215" s="1" t="s">
        <v>2958</v>
      </c>
      <c r="C1215" t="s">
        <v>2959</v>
      </c>
      <c r="D1215">
        <v>62.1</v>
      </c>
      <c r="E1215">
        <v>61.8</v>
      </c>
      <c r="F1215">
        <v>84.4</v>
      </c>
      <c r="G1215">
        <v>68.8</v>
      </c>
      <c r="H1215">
        <v>135.9</v>
      </c>
      <c r="I1215">
        <v>139.4</v>
      </c>
      <c r="J1215">
        <v>100</v>
      </c>
      <c r="K1215">
        <v>100</v>
      </c>
      <c r="L1215" s="1" t="s">
        <v>2958</v>
      </c>
      <c r="M1215" t="s">
        <v>228</v>
      </c>
      <c r="N1215">
        <v>3</v>
      </c>
    </row>
    <row r="1216" spans="1:14" x14ac:dyDescent="0.25">
      <c r="A1216" s="3" t="str">
        <f>HYPERLINK("http://www.ncbi.nlm.nih.gov/gene/79659","79659")</f>
        <v>79659</v>
      </c>
      <c r="B1216" s="1" t="s">
        <v>2960</v>
      </c>
      <c r="C1216" t="s">
        <v>2961</v>
      </c>
      <c r="D1216">
        <v>117.9</v>
      </c>
      <c r="E1216">
        <v>122.7</v>
      </c>
      <c r="F1216">
        <v>98.8</v>
      </c>
      <c r="G1216">
        <v>95.5</v>
      </c>
      <c r="H1216">
        <v>122</v>
      </c>
      <c r="I1216">
        <v>125.7</v>
      </c>
      <c r="J1216">
        <v>100</v>
      </c>
      <c r="K1216">
        <v>100</v>
      </c>
      <c r="L1216" s="1" t="s">
        <v>2960</v>
      </c>
      <c r="M1216" t="s">
        <v>2962</v>
      </c>
      <c r="N1216">
        <v>8</v>
      </c>
    </row>
    <row r="1217" spans="1:14" x14ac:dyDescent="0.25">
      <c r="A1217" s="3" t="str">
        <f>HYPERLINK("http://www.ncbi.nlm.nih.gov/gene/55112","55112")</f>
        <v>55112</v>
      </c>
      <c r="B1217" s="1" t="s">
        <v>2963</v>
      </c>
      <c r="C1217" t="s">
        <v>2964</v>
      </c>
      <c r="D1217">
        <v>117.3</v>
      </c>
      <c r="E1217">
        <v>121.8</v>
      </c>
      <c r="F1217">
        <v>99.5</v>
      </c>
      <c r="G1217">
        <v>97</v>
      </c>
      <c r="H1217">
        <v>129.69999999999999</v>
      </c>
      <c r="I1217">
        <v>133.19999999999999</v>
      </c>
      <c r="J1217">
        <v>100</v>
      </c>
      <c r="K1217">
        <v>100</v>
      </c>
      <c r="L1217" s="1" t="s">
        <v>2965</v>
      </c>
      <c r="M1217" t="s">
        <v>2966</v>
      </c>
      <c r="N1217">
        <v>6</v>
      </c>
    </row>
    <row r="1218" spans="1:14" x14ac:dyDescent="0.25">
      <c r="A1218" s="3" t="str">
        <f>HYPERLINK("http://www.ncbi.nlm.nih.gov/gene/89891","89891")</f>
        <v>89891</v>
      </c>
      <c r="B1218" s="1" t="s">
        <v>2967</v>
      </c>
      <c r="C1218" t="s">
        <v>2968</v>
      </c>
      <c r="D1218">
        <v>109</v>
      </c>
      <c r="E1218">
        <v>116.2</v>
      </c>
      <c r="F1218">
        <v>100</v>
      </c>
      <c r="G1218">
        <v>99.6</v>
      </c>
      <c r="H1218">
        <v>155.19999999999999</v>
      </c>
      <c r="I1218">
        <v>161</v>
      </c>
      <c r="J1218">
        <v>100</v>
      </c>
      <c r="K1218">
        <v>100</v>
      </c>
      <c r="L1218" s="1" t="s">
        <v>2969</v>
      </c>
      <c r="M1218" t="s">
        <v>1765</v>
      </c>
      <c r="N1218">
        <v>5</v>
      </c>
    </row>
    <row r="1219" spans="1:14" x14ac:dyDescent="0.25">
      <c r="A1219" s="3" t="str">
        <f>HYPERLINK("http://www.ncbi.nlm.nih.gov/gene/51626","51626")</f>
        <v>51626</v>
      </c>
      <c r="B1219" s="1" t="s">
        <v>2970</v>
      </c>
      <c r="C1219" t="s">
        <v>2971</v>
      </c>
      <c r="D1219">
        <v>115</v>
      </c>
      <c r="E1219">
        <v>121.3</v>
      </c>
      <c r="F1219">
        <v>99.7</v>
      </c>
      <c r="G1219">
        <v>97.6</v>
      </c>
      <c r="H1219">
        <v>121.1</v>
      </c>
      <c r="I1219">
        <v>124.6</v>
      </c>
      <c r="J1219">
        <v>100</v>
      </c>
      <c r="K1219">
        <v>100</v>
      </c>
      <c r="L1219" s="1" t="s">
        <v>2970</v>
      </c>
      <c r="M1219" t="s">
        <v>2972</v>
      </c>
      <c r="N1219">
        <v>5</v>
      </c>
    </row>
    <row r="1220" spans="1:14" x14ac:dyDescent="0.25">
      <c r="A1220" s="3" t="str">
        <f>HYPERLINK("http://www.ncbi.nlm.nih.gov/gene/255758","255758")</f>
        <v>255758</v>
      </c>
      <c r="B1220" s="1" t="s">
        <v>2973</v>
      </c>
      <c r="C1220" t="s">
        <v>2974</v>
      </c>
      <c r="D1220">
        <v>134.1</v>
      </c>
      <c r="E1220">
        <v>140.69999999999999</v>
      </c>
      <c r="F1220">
        <v>100</v>
      </c>
      <c r="G1220">
        <v>100</v>
      </c>
      <c r="H1220">
        <v>129.4</v>
      </c>
      <c r="I1220">
        <v>132.30000000000001</v>
      </c>
      <c r="J1220">
        <v>100</v>
      </c>
      <c r="K1220">
        <v>100</v>
      </c>
      <c r="L1220" s="1" t="s">
        <v>2975</v>
      </c>
      <c r="M1220" t="s">
        <v>2976</v>
      </c>
      <c r="N1220">
        <v>4</v>
      </c>
    </row>
    <row r="1221" spans="1:14" x14ac:dyDescent="0.25">
      <c r="A1221" s="3" t="str">
        <f>HYPERLINK("http://www.ncbi.nlm.nih.gov/gene/1859","1859")</f>
        <v>1859</v>
      </c>
      <c r="B1221" s="1" t="s">
        <v>2977</v>
      </c>
      <c r="C1221" t="s">
        <v>2978</v>
      </c>
      <c r="D1221">
        <v>154.30000000000001</v>
      </c>
      <c r="E1221">
        <v>158.80000000000001</v>
      </c>
      <c r="F1221">
        <v>100</v>
      </c>
      <c r="G1221">
        <v>100</v>
      </c>
      <c r="H1221">
        <v>152.1</v>
      </c>
      <c r="I1221">
        <v>155.80000000000001</v>
      </c>
      <c r="J1221">
        <v>100</v>
      </c>
      <c r="K1221">
        <v>100</v>
      </c>
      <c r="L1221" s="1" t="s">
        <v>2977</v>
      </c>
      <c r="M1221" t="s">
        <v>995</v>
      </c>
      <c r="N1221">
        <v>3</v>
      </c>
    </row>
    <row r="1222" spans="1:14" x14ac:dyDescent="0.25">
      <c r="A1222" s="3" t="str">
        <f>HYPERLINK("http://www.ncbi.nlm.nih.gov/gene/9149","9149")</f>
        <v>9149</v>
      </c>
      <c r="B1222" s="1" t="s">
        <v>2979</v>
      </c>
      <c r="C1222" t="s">
        <v>2980</v>
      </c>
      <c r="D1222">
        <v>107.8</v>
      </c>
      <c r="E1222">
        <v>111.1</v>
      </c>
      <c r="F1222">
        <v>98.4</v>
      </c>
      <c r="G1222">
        <v>94</v>
      </c>
      <c r="H1222">
        <v>131.30000000000001</v>
      </c>
      <c r="I1222">
        <v>136.80000000000001</v>
      </c>
      <c r="J1222">
        <v>100</v>
      </c>
      <c r="K1222">
        <v>100</v>
      </c>
      <c r="L1222" s="1" t="s">
        <v>2979</v>
      </c>
      <c r="M1222" t="s">
        <v>285</v>
      </c>
      <c r="N1222">
        <v>1</v>
      </c>
    </row>
    <row r="1223" spans="1:14" x14ac:dyDescent="0.25">
      <c r="A1223" s="3" t="str">
        <f>HYPERLINK("http://www.ncbi.nlm.nih.gov/gene/8291","8291")</f>
        <v>8291</v>
      </c>
      <c r="B1223" s="1" t="s">
        <v>2981</v>
      </c>
      <c r="C1223" t="s">
        <v>2982</v>
      </c>
      <c r="D1223">
        <v>144.6</v>
      </c>
      <c r="E1223">
        <v>149.9</v>
      </c>
      <c r="F1223">
        <v>100</v>
      </c>
      <c r="G1223">
        <v>99.9</v>
      </c>
      <c r="H1223">
        <v>137.19999999999999</v>
      </c>
      <c r="I1223">
        <v>140.80000000000001</v>
      </c>
      <c r="J1223">
        <v>100</v>
      </c>
      <c r="K1223">
        <v>100</v>
      </c>
      <c r="L1223" s="1" t="s">
        <v>2981</v>
      </c>
      <c r="M1223" t="s">
        <v>1804</v>
      </c>
      <c r="N1223">
        <v>3</v>
      </c>
    </row>
    <row r="1224" spans="1:14" x14ac:dyDescent="0.25">
      <c r="A1224" s="3" t="str">
        <f>HYPERLINK("http://www.ncbi.nlm.nih.gov/gene/22873","22873")</f>
        <v>22873</v>
      </c>
      <c r="B1224" s="1" t="s">
        <v>2983</v>
      </c>
      <c r="C1224" t="s">
        <v>2984</v>
      </c>
      <c r="D1224">
        <v>163.30000000000001</v>
      </c>
      <c r="E1224">
        <v>169.2</v>
      </c>
      <c r="F1224">
        <v>98.4</v>
      </c>
      <c r="G1224">
        <v>96.6</v>
      </c>
      <c r="H1224">
        <v>138.9</v>
      </c>
      <c r="I1224">
        <v>142</v>
      </c>
      <c r="J1224">
        <v>100</v>
      </c>
      <c r="K1224">
        <v>100</v>
      </c>
      <c r="L1224" s="1" t="s">
        <v>2983</v>
      </c>
      <c r="M1224" t="s">
        <v>197</v>
      </c>
      <c r="N1224">
        <v>2</v>
      </c>
    </row>
    <row r="1225" spans="1:14" x14ac:dyDescent="0.25">
      <c r="A1225" s="3" t="str">
        <f>HYPERLINK("http://www.ncbi.nlm.nih.gov/gene/199221","199221")</f>
        <v>199221</v>
      </c>
      <c r="B1225" s="1" t="s">
        <v>2985</v>
      </c>
      <c r="C1225" t="s">
        <v>2986</v>
      </c>
      <c r="D1225">
        <v>108.3</v>
      </c>
      <c r="E1225">
        <v>105.7</v>
      </c>
      <c r="F1225">
        <v>99.9</v>
      </c>
      <c r="G1225">
        <v>99</v>
      </c>
      <c r="H1225">
        <v>139.4</v>
      </c>
      <c r="I1225">
        <v>142.6</v>
      </c>
      <c r="J1225">
        <v>100</v>
      </c>
      <c r="K1225">
        <v>100</v>
      </c>
      <c r="L1225" s="1" t="s">
        <v>2985</v>
      </c>
      <c r="M1225" t="s">
        <v>357</v>
      </c>
      <c r="N1225">
        <v>3</v>
      </c>
    </row>
    <row r="1226" spans="1:14" x14ac:dyDescent="0.25">
      <c r="A1226" s="3" t="str">
        <f>HYPERLINK("http://www.ncbi.nlm.nih.gov/gene/124454","124454")</f>
        <v>124454</v>
      </c>
      <c r="B1226" s="1" t="s">
        <v>2987</v>
      </c>
      <c r="C1226" t="s">
        <v>2988</v>
      </c>
      <c r="D1226">
        <v>103</v>
      </c>
      <c r="E1226">
        <v>105.9</v>
      </c>
      <c r="F1226">
        <v>99.8</v>
      </c>
      <c r="G1226">
        <v>97.7</v>
      </c>
      <c r="H1226">
        <v>155.80000000000001</v>
      </c>
      <c r="I1226">
        <v>160.5</v>
      </c>
      <c r="J1226">
        <v>100</v>
      </c>
      <c r="K1226">
        <v>100</v>
      </c>
      <c r="L1226" s="1" t="s">
        <v>2987</v>
      </c>
      <c r="M1226" t="s">
        <v>766</v>
      </c>
      <c r="N1226">
        <v>3</v>
      </c>
    </row>
    <row r="1227" spans="1:14" x14ac:dyDescent="0.25">
      <c r="A1227" s="3" t="str">
        <f>HYPERLINK("http://www.ncbi.nlm.nih.gov/gene/253738","253738")</f>
        <v>253738</v>
      </c>
      <c r="B1227" s="1" t="s">
        <v>2989</v>
      </c>
      <c r="C1227" t="s">
        <v>2990</v>
      </c>
      <c r="D1227">
        <v>146</v>
      </c>
      <c r="E1227">
        <v>151.9</v>
      </c>
      <c r="F1227">
        <v>100</v>
      </c>
      <c r="G1227">
        <v>100</v>
      </c>
      <c r="H1227">
        <v>146.30000000000001</v>
      </c>
      <c r="I1227">
        <v>150.80000000000001</v>
      </c>
      <c r="J1227">
        <v>100</v>
      </c>
      <c r="K1227">
        <v>100</v>
      </c>
      <c r="L1227" s="1" t="s">
        <v>2989</v>
      </c>
      <c r="M1227" t="s">
        <v>189</v>
      </c>
      <c r="N1227">
        <v>2</v>
      </c>
    </row>
    <row r="1228" spans="1:14" x14ac:dyDescent="0.25">
      <c r="A1228" s="3" t="str">
        <f>HYPERLINK("http://www.ncbi.nlm.nih.gov/gene/10682","10682")</f>
        <v>10682</v>
      </c>
      <c r="B1228" s="1" t="s">
        <v>2991</v>
      </c>
      <c r="C1228" t="s">
        <v>2992</v>
      </c>
      <c r="D1228">
        <v>69.5</v>
      </c>
      <c r="E1228">
        <v>73.3</v>
      </c>
      <c r="F1228">
        <v>99.7</v>
      </c>
      <c r="G1228">
        <v>95.8</v>
      </c>
      <c r="H1228">
        <v>147.6</v>
      </c>
      <c r="I1228">
        <v>153.1</v>
      </c>
      <c r="J1228">
        <v>100</v>
      </c>
      <c r="K1228">
        <v>100</v>
      </c>
      <c r="L1228" s="1" t="s">
        <v>2991</v>
      </c>
      <c r="M1228" t="s">
        <v>2993</v>
      </c>
      <c r="N1228">
        <v>7</v>
      </c>
    </row>
    <row r="1229" spans="1:14" x14ac:dyDescent="0.25">
      <c r="A1229" s="3" t="str">
        <f>HYPERLINK("http://www.ncbi.nlm.nih.gov/gene/1889","1889")</f>
        <v>1889</v>
      </c>
      <c r="B1229" s="1" t="s">
        <v>2994</v>
      </c>
      <c r="C1229" t="s">
        <v>2995</v>
      </c>
      <c r="D1229">
        <v>141.4</v>
      </c>
      <c r="E1229">
        <v>147.6</v>
      </c>
      <c r="F1229">
        <v>88.6</v>
      </c>
      <c r="G1229">
        <v>88.3</v>
      </c>
      <c r="H1229">
        <v>123.1</v>
      </c>
      <c r="I1229">
        <v>126.8</v>
      </c>
      <c r="J1229">
        <v>90.2</v>
      </c>
      <c r="K1229">
        <v>90.2</v>
      </c>
      <c r="L1229" s="1" t="s">
        <v>2994</v>
      </c>
      <c r="M1229" t="s">
        <v>661</v>
      </c>
      <c r="N1229">
        <v>2</v>
      </c>
    </row>
    <row r="1230" spans="1:14" x14ac:dyDescent="0.25">
      <c r="A1230" s="3" t="str">
        <f>HYPERLINK("http://www.ncbi.nlm.nih.gov/gene/9427","9427")</f>
        <v>9427</v>
      </c>
      <c r="B1230" s="1" t="s">
        <v>2996</v>
      </c>
      <c r="C1230" t="s">
        <v>2997</v>
      </c>
      <c r="D1230">
        <v>103.6</v>
      </c>
      <c r="E1230">
        <v>99.8</v>
      </c>
      <c r="F1230">
        <v>95.4</v>
      </c>
      <c r="G1230">
        <v>90</v>
      </c>
      <c r="H1230">
        <v>126.1</v>
      </c>
      <c r="I1230">
        <v>129.19999999999999</v>
      </c>
      <c r="J1230">
        <v>100</v>
      </c>
      <c r="K1230">
        <v>100</v>
      </c>
      <c r="L1230" s="1" t="s">
        <v>2996</v>
      </c>
      <c r="M1230" t="s">
        <v>2998</v>
      </c>
      <c r="N1230">
        <v>5</v>
      </c>
    </row>
    <row r="1231" spans="1:14" x14ac:dyDescent="0.25">
      <c r="A1231" s="3" t="str">
        <f>HYPERLINK("http://www.ncbi.nlm.nih.gov/gene/1892","1892")</f>
        <v>1892</v>
      </c>
      <c r="B1231" s="1" t="s">
        <v>2999</v>
      </c>
      <c r="C1231" t="s">
        <v>3000</v>
      </c>
      <c r="D1231">
        <v>105.1</v>
      </c>
      <c r="E1231">
        <v>108.6</v>
      </c>
      <c r="F1231">
        <v>99.9</v>
      </c>
      <c r="G1231">
        <v>99</v>
      </c>
      <c r="H1231">
        <v>126.3</v>
      </c>
      <c r="I1231">
        <v>129.5</v>
      </c>
      <c r="J1231">
        <v>100</v>
      </c>
      <c r="K1231">
        <v>100</v>
      </c>
      <c r="L1231" s="1" t="s">
        <v>2999</v>
      </c>
      <c r="M1231" t="s">
        <v>2709</v>
      </c>
      <c r="N1231">
        <v>6</v>
      </c>
    </row>
    <row r="1232" spans="1:14" x14ac:dyDescent="0.25">
      <c r="A1232" s="3" t="str">
        <f>HYPERLINK("http://www.ncbi.nlm.nih.gov/gene/1893","1893")</f>
        <v>1893</v>
      </c>
      <c r="B1232" s="1" t="s">
        <v>3001</v>
      </c>
      <c r="C1232" t="s">
        <v>3002</v>
      </c>
      <c r="D1232">
        <v>193.9</v>
      </c>
      <c r="E1232">
        <v>195.7</v>
      </c>
      <c r="F1232">
        <v>100</v>
      </c>
      <c r="G1232">
        <v>99.6</v>
      </c>
      <c r="H1232">
        <v>140.6</v>
      </c>
      <c r="I1232">
        <v>143.80000000000001</v>
      </c>
      <c r="J1232">
        <v>100</v>
      </c>
      <c r="K1232">
        <v>100</v>
      </c>
      <c r="L1232" s="1" t="s">
        <v>3001</v>
      </c>
      <c r="M1232" t="s">
        <v>246</v>
      </c>
      <c r="N1232">
        <v>3</v>
      </c>
    </row>
    <row r="1233" spans="1:14" x14ac:dyDescent="0.25">
      <c r="A1233" s="3" t="str">
        <f>HYPERLINK("http://www.ncbi.nlm.nih.gov/gene/51295","51295")</f>
        <v>51295</v>
      </c>
      <c r="B1233" s="1" t="s">
        <v>3003</v>
      </c>
      <c r="C1233" t="s">
        <v>3004</v>
      </c>
      <c r="D1233">
        <v>143.1</v>
      </c>
      <c r="E1233">
        <v>142</v>
      </c>
      <c r="F1233">
        <v>100</v>
      </c>
      <c r="G1233">
        <v>99.9</v>
      </c>
      <c r="H1233">
        <v>146.6</v>
      </c>
      <c r="I1233">
        <v>151.30000000000001</v>
      </c>
      <c r="J1233">
        <v>100</v>
      </c>
      <c r="K1233">
        <v>100</v>
      </c>
      <c r="L1233" s="1" t="s">
        <v>3003</v>
      </c>
      <c r="M1233" t="s">
        <v>265</v>
      </c>
      <c r="N1233">
        <v>2</v>
      </c>
    </row>
    <row r="1234" spans="1:14" x14ac:dyDescent="0.25">
      <c r="A1234" s="3" t="str">
        <f>HYPERLINK("http://www.ncbi.nlm.nih.gov/gene/1896","1896")</f>
        <v>1896</v>
      </c>
      <c r="B1234" s="1" t="s">
        <v>3005</v>
      </c>
      <c r="C1234" t="s">
        <v>3006</v>
      </c>
      <c r="D1234">
        <v>96.4</v>
      </c>
      <c r="E1234">
        <v>102.9</v>
      </c>
      <c r="F1234">
        <v>98.1</v>
      </c>
      <c r="G1234">
        <v>91.6</v>
      </c>
      <c r="H1234">
        <v>144</v>
      </c>
      <c r="I1234">
        <v>148.4</v>
      </c>
      <c r="J1234">
        <v>100</v>
      </c>
      <c r="K1234">
        <v>99.9</v>
      </c>
      <c r="L1234" s="1" t="s">
        <v>3005</v>
      </c>
      <c r="M1234" t="s">
        <v>529</v>
      </c>
      <c r="N1234">
        <v>3</v>
      </c>
    </row>
    <row r="1235" spans="1:14" x14ac:dyDescent="0.25">
      <c r="A1235" s="3" t="str">
        <f>HYPERLINK("http://www.ncbi.nlm.nih.gov/gene/10913","10913")</f>
        <v>10913</v>
      </c>
      <c r="B1235" s="1" t="s">
        <v>3007</v>
      </c>
      <c r="C1235" t="s">
        <v>3008</v>
      </c>
      <c r="D1235">
        <v>141.6</v>
      </c>
      <c r="E1235">
        <v>148.4</v>
      </c>
      <c r="F1235">
        <v>100</v>
      </c>
      <c r="G1235">
        <v>99.9</v>
      </c>
      <c r="H1235">
        <v>144.4</v>
      </c>
      <c r="I1235">
        <v>149.6</v>
      </c>
      <c r="J1235">
        <v>100</v>
      </c>
      <c r="K1235">
        <v>100</v>
      </c>
      <c r="L1235" s="1" t="s">
        <v>3007</v>
      </c>
      <c r="M1235" t="s">
        <v>1682</v>
      </c>
      <c r="N1235">
        <v>4</v>
      </c>
    </row>
    <row r="1236" spans="1:14" x14ac:dyDescent="0.25">
      <c r="A1236" s="3" t="str">
        <f>HYPERLINK("http://www.ncbi.nlm.nih.gov/gene/128178","128178")</f>
        <v>128178</v>
      </c>
      <c r="B1236" s="1" t="s">
        <v>3009</v>
      </c>
      <c r="C1236" t="s">
        <v>3010</v>
      </c>
      <c r="D1236">
        <v>99.8</v>
      </c>
      <c r="E1236">
        <v>101.9</v>
      </c>
      <c r="F1236">
        <v>99.9</v>
      </c>
      <c r="G1236">
        <v>98.8</v>
      </c>
      <c r="H1236">
        <v>142.9</v>
      </c>
      <c r="I1236">
        <v>144.80000000000001</v>
      </c>
      <c r="J1236">
        <v>100</v>
      </c>
      <c r="K1236">
        <v>100</v>
      </c>
      <c r="L1236" s="1" t="s">
        <v>3009</v>
      </c>
      <c r="M1236" t="s">
        <v>3011</v>
      </c>
      <c r="N1236">
        <v>4</v>
      </c>
    </row>
    <row r="1237" spans="1:14" x14ac:dyDescent="0.25">
      <c r="A1237" s="3" t="str">
        <f>HYPERLINK("http://www.ncbi.nlm.nih.gov/gene/80153","80153")</f>
        <v>80153</v>
      </c>
      <c r="B1237" s="1" t="s">
        <v>3012</v>
      </c>
      <c r="C1237" t="s">
        <v>3013</v>
      </c>
      <c r="D1237">
        <v>128</v>
      </c>
      <c r="E1237">
        <v>134.30000000000001</v>
      </c>
      <c r="F1237">
        <v>100</v>
      </c>
      <c r="G1237">
        <v>99.9</v>
      </c>
      <c r="H1237">
        <v>156.4</v>
      </c>
      <c r="I1237">
        <v>160.5</v>
      </c>
      <c r="J1237">
        <v>100</v>
      </c>
      <c r="K1237">
        <v>100</v>
      </c>
      <c r="L1237" s="1" t="s">
        <v>3012</v>
      </c>
      <c r="M1237" t="s">
        <v>3014</v>
      </c>
      <c r="N1237">
        <v>3</v>
      </c>
    </row>
    <row r="1238" spans="1:14" x14ac:dyDescent="0.25">
      <c r="A1238" s="3" t="str">
        <f>HYPERLINK("http://www.ncbi.nlm.nih.gov/gene/1906","1906")</f>
        <v>1906</v>
      </c>
      <c r="B1238" s="1" t="s">
        <v>3015</v>
      </c>
      <c r="C1238" t="s">
        <v>3016</v>
      </c>
      <c r="D1238">
        <v>161.69999999999999</v>
      </c>
      <c r="E1238">
        <v>166.4</v>
      </c>
      <c r="F1238">
        <v>100</v>
      </c>
      <c r="G1238">
        <v>100</v>
      </c>
      <c r="H1238">
        <v>126</v>
      </c>
      <c r="I1238">
        <v>129.69999999999999</v>
      </c>
      <c r="J1238">
        <v>100</v>
      </c>
      <c r="K1238">
        <v>100</v>
      </c>
      <c r="L1238" s="1" t="s">
        <v>3015</v>
      </c>
      <c r="M1238" t="s">
        <v>3017</v>
      </c>
      <c r="N1238">
        <v>5</v>
      </c>
    </row>
    <row r="1239" spans="1:14" x14ac:dyDescent="0.25">
      <c r="A1239" s="3" t="str">
        <f>HYPERLINK("http://www.ncbi.nlm.nih.gov/gene/1908","1908")</f>
        <v>1908</v>
      </c>
      <c r="B1239" s="1" t="s">
        <v>3018</v>
      </c>
      <c r="C1239" t="s">
        <v>3019</v>
      </c>
      <c r="D1239">
        <v>144.69999999999999</v>
      </c>
      <c r="E1239">
        <v>142.6</v>
      </c>
      <c r="F1239">
        <v>98.8</v>
      </c>
      <c r="G1239">
        <v>98.8</v>
      </c>
      <c r="H1239">
        <v>156.80000000000001</v>
      </c>
      <c r="I1239">
        <v>162</v>
      </c>
      <c r="J1239">
        <v>100</v>
      </c>
      <c r="K1239">
        <v>100</v>
      </c>
      <c r="L1239" s="1" t="s">
        <v>3018</v>
      </c>
      <c r="M1239" t="s">
        <v>3020</v>
      </c>
      <c r="N1239">
        <v>4</v>
      </c>
    </row>
    <row r="1240" spans="1:14" x14ac:dyDescent="0.25">
      <c r="A1240" s="3" t="str">
        <f>HYPERLINK("http://www.ncbi.nlm.nih.gov/gene/1909","1909")</f>
        <v>1909</v>
      </c>
      <c r="B1240" s="1" t="s">
        <v>3021</v>
      </c>
      <c r="C1240" t="s">
        <v>3022</v>
      </c>
      <c r="D1240">
        <v>187.3</v>
      </c>
      <c r="E1240">
        <v>196.2</v>
      </c>
      <c r="F1240">
        <v>100</v>
      </c>
      <c r="G1240">
        <v>100</v>
      </c>
      <c r="H1240">
        <v>156.9</v>
      </c>
      <c r="I1240">
        <v>161.6</v>
      </c>
      <c r="J1240">
        <v>100</v>
      </c>
      <c r="K1240">
        <v>100</v>
      </c>
      <c r="L1240" s="1" t="s">
        <v>3021</v>
      </c>
      <c r="M1240" t="s">
        <v>3023</v>
      </c>
      <c r="N1240">
        <v>6</v>
      </c>
    </row>
    <row r="1241" spans="1:14" x14ac:dyDescent="0.25">
      <c r="A1241" s="3" t="str">
        <f>HYPERLINK("http://www.ncbi.nlm.nih.gov/gene/1910","1910")</f>
        <v>1910</v>
      </c>
      <c r="B1241" s="1" t="s">
        <v>3024</v>
      </c>
      <c r="C1241" t="s">
        <v>3025</v>
      </c>
      <c r="D1241">
        <v>130.9</v>
      </c>
      <c r="E1241">
        <v>134.4</v>
      </c>
      <c r="F1241">
        <v>98</v>
      </c>
      <c r="G1241">
        <v>93.8</v>
      </c>
      <c r="H1241">
        <v>143.1</v>
      </c>
      <c r="I1241">
        <v>146.80000000000001</v>
      </c>
      <c r="J1241">
        <v>100</v>
      </c>
      <c r="K1241">
        <v>100</v>
      </c>
      <c r="L1241" s="1" t="s">
        <v>3024</v>
      </c>
      <c r="M1241" t="s">
        <v>3026</v>
      </c>
      <c r="N1241">
        <v>5</v>
      </c>
    </row>
    <row r="1242" spans="1:14" x14ac:dyDescent="0.25">
      <c r="A1242" s="3" t="str">
        <f>HYPERLINK("http://www.ncbi.nlm.nih.gov/gene/8726","8726")</f>
        <v>8726</v>
      </c>
      <c r="B1242" s="1" t="s">
        <v>3027</v>
      </c>
      <c r="C1242" t="s">
        <v>3028</v>
      </c>
      <c r="D1242">
        <v>81.7</v>
      </c>
      <c r="E1242">
        <v>84.3</v>
      </c>
      <c r="F1242">
        <v>96.5</v>
      </c>
      <c r="G1242">
        <v>91.4</v>
      </c>
      <c r="H1242">
        <v>111.6</v>
      </c>
      <c r="I1242">
        <v>113.3</v>
      </c>
      <c r="J1242">
        <v>99.8</v>
      </c>
      <c r="K1242">
        <v>98.2</v>
      </c>
      <c r="L1242" s="1" t="s">
        <v>3027</v>
      </c>
      <c r="M1242" t="s">
        <v>189</v>
      </c>
      <c r="N1242">
        <v>2</v>
      </c>
    </row>
    <row r="1243" spans="1:14" x14ac:dyDescent="0.25">
      <c r="A1243" s="3" t="str">
        <f>HYPERLINK("http://www.ncbi.nlm.nih.gov/gene/1917","1917")</f>
        <v>1917</v>
      </c>
      <c r="B1243" s="1" t="s">
        <v>3029</v>
      </c>
      <c r="C1243" t="s">
        <v>3030</v>
      </c>
      <c r="D1243">
        <v>181.6</v>
      </c>
      <c r="E1243">
        <v>189.2</v>
      </c>
      <c r="F1243">
        <v>100</v>
      </c>
      <c r="G1243">
        <v>100</v>
      </c>
      <c r="H1243">
        <v>136.69999999999999</v>
      </c>
      <c r="I1243">
        <v>142</v>
      </c>
      <c r="J1243">
        <v>99.9</v>
      </c>
      <c r="K1243">
        <v>99.1</v>
      </c>
      <c r="L1243" s="1" t="s">
        <v>3029</v>
      </c>
      <c r="M1243" t="s">
        <v>3031</v>
      </c>
      <c r="N1243">
        <v>4</v>
      </c>
    </row>
    <row r="1244" spans="1:14" x14ac:dyDescent="0.25">
      <c r="A1244" s="3" t="str">
        <f>HYPERLINK("http://www.ncbi.nlm.nih.gov/gene/51603","51603")</f>
        <v>51603</v>
      </c>
      <c r="B1244" s="1" t="s">
        <v>3032</v>
      </c>
      <c r="C1244" t="s">
        <v>3033</v>
      </c>
      <c r="D1244">
        <v>121.3</v>
      </c>
      <c r="E1244">
        <v>122.1</v>
      </c>
      <c r="F1244">
        <v>99.9</v>
      </c>
      <c r="G1244">
        <v>99.3</v>
      </c>
      <c r="H1244">
        <v>139.4</v>
      </c>
      <c r="I1244">
        <v>142</v>
      </c>
      <c r="J1244">
        <v>100</v>
      </c>
      <c r="K1244">
        <v>100</v>
      </c>
      <c r="L1244" s="1" t="s">
        <v>3032</v>
      </c>
      <c r="M1244" t="s">
        <v>285</v>
      </c>
      <c r="N1244">
        <v>1</v>
      </c>
    </row>
    <row r="1245" spans="1:14" x14ac:dyDescent="0.25">
      <c r="A1245" s="3" t="str">
        <f>HYPERLINK("http://www.ncbi.nlm.nih.gov/gene/1938","1938")</f>
        <v>1938</v>
      </c>
      <c r="B1245" s="1" t="s">
        <v>3034</v>
      </c>
      <c r="C1245" t="s">
        <v>3035</v>
      </c>
      <c r="D1245">
        <v>155.1</v>
      </c>
      <c r="E1245">
        <v>164.4</v>
      </c>
      <c r="F1245">
        <v>100</v>
      </c>
      <c r="G1245">
        <v>99.9</v>
      </c>
      <c r="H1245">
        <v>152.30000000000001</v>
      </c>
      <c r="I1245">
        <v>157.5</v>
      </c>
      <c r="J1245">
        <v>100</v>
      </c>
      <c r="K1245">
        <v>100</v>
      </c>
      <c r="L1245" s="1" t="s">
        <v>3034</v>
      </c>
      <c r="M1245" t="s">
        <v>285</v>
      </c>
      <c r="N1245">
        <v>1</v>
      </c>
    </row>
    <row r="1246" spans="1:14" x14ac:dyDescent="0.25">
      <c r="A1246" s="3" t="str">
        <f>HYPERLINK("http://www.ncbi.nlm.nih.gov/gene/2202","2202")</f>
        <v>2202</v>
      </c>
      <c r="B1246" s="1" t="s">
        <v>3036</v>
      </c>
      <c r="C1246" t="s">
        <v>3037</v>
      </c>
      <c r="D1246">
        <v>168.4</v>
      </c>
      <c r="E1246">
        <v>163.69999999999999</v>
      </c>
      <c r="F1246">
        <v>100</v>
      </c>
      <c r="G1246">
        <v>99.9</v>
      </c>
      <c r="H1246">
        <v>136.80000000000001</v>
      </c>
      <c r="I1246">
        <v>141.30000000000001</v>
      </c>
      <c r="J1246">
        <v>100</v>
      </c>
      <c r="K1246">
        <v>100</v>
      </c>
      <c r="L1246" s="1" t="s">
        <v>3036</v>
      </c>
      <c r="M1246" t="s">
        <v>302</v>
      </c>
      <c r="N1246">
        <v>2</v>
      </c>
    </row>
    <row r="1247" spans="1:14" x14ac:dyDescent="0.25">
      <c r="A1247" s="3" t="str">
        <f>HYPERLINK("http://www.ncbi.nlm.nih.gov/gene/30008","30008")</f>
        <v>30008</v>
      </c>
      <c r="B1247" s="1" t="s">
        <v>3038</v>
      </c>
      <c r="C1247" t="s">
        <v>3039</v>
      </c>
      <c r="D1247">
        <v>135.5</v>
      </c>
      <c r="E1247">
        <v>138.6</v>
      </c>
      <c r="F1247">
        <v>100</v>
      </c>
      <c r="G1247">
        <v>100</v>
      </c>
      <c r="H1247">
        <v>120.6</v>
      </c>
      <c r="I1247">
        <v>124.3</v>
      </c>
      <c r="J1247">
        <v>100</v>
      </c>
      <c r="K1247">
        <v>100</v>
      </c>
      <c r="L1247" s="1" t="s">
        <v>3038</v>
      </c>
      <c r="M1247" t="s">
        <v>3040</v>
      </c>
      <c r="N1247">
        <v>5</v>
      </c>
    </row>
    <row r="1248" spans="1:14" x14ac:dyDescent="0.25">
      <c r="A1248" s="3" t="str">
        <f>HYPERLINK("http://www.ncbi.nlm.nih.gov/gene/114327","114327")</f>
        <v>114327</v>
      </c>
      <c r="B1248" s="1" t="s">
        <v>3041</v>
      </c>
      <c r="C1248" t="s">
        <v>3042</v>
      </c>
      <c r="D1248">
        <v>140.6</v>
      </c>
      <c r="E1248">
        <v>149.69999999999999</v>
      </c>
      <c r="F1248">
        <v>93.1</v>
      </c>
      <c r="G1248">
        <v>91.6</v>
      </c>
      <c r="H1248">
        <v>138.30000000000001</v>
      </c>
      <c r="I1248">
        <v>141.9</v>
      </c>
      <c r="J1248">
        <v>98</v>
      </c>
      <c r="K1248">
        <v>98</v>
      </c>
      <c r="L1248" s="1" t="s">
        <v>3041</v>
      </c>
      <c r="M1248" t="s">
        <v>1867</v>
      </c>
      <c r="N1248">
        <v>2</v>
      </c>
    </row>
    <row r="1249" spans="1:14" x14ac:dyDescent="0.25">
      <c r="A1249" s="3" t="str">
        <f>HYPERLINK("http://www.ncbi.nlm.nih.gov/gene/79631","79631")</f>
        <v>79631</v>
      </c>
      <c r="B1249" s="1" t="s">
        <v>3043</v>
      </c>
      <c r="C1249" t="s">
        <v>3044</v>
      </c>
      <c r="D1249">
        <v>169.9</v>
      </c>
      <c r="E1249">
        <v>178.2</v>
      </c>
      <c r="F1249">
        <v>99.6</v>
      </c>
      <c r="G1249">
        <v>98.5</v>
      </c>
      <c r="H1249">
        <v>150.9</v>
      </c>
      <c r="I1249">
        <v>154.1</v>
      </c>
      <c r="J1249">
        <v>100</v>
      </c>
      <c r="K1249">
        <v>100</v>
      </c>
      <c r="L1249" s="1" t="s">
        <v>3043</v>
      </c>
      <c r="M1249" t="s">
        <v>3045</v>
      </c>
      <c r="N1249">
        <v>4</v>
      </c>
    </row>
    <row r="1250" spans="1:14" x14ac:dyDescent="0.25">
      <c r="A1250" s="3" t="str">
        <f>HYPERLINK("http://www.ncbi.nlm.nih.gov/gene/1945","1945")</f>
        <v>1945</v>
      </c>
      <c r="B1250" s="1" t="s">
        <v>3046</v>
      </c>
      <c r="C1250" t="s">
        <v>3047</v>
      </c>
      <c r="D1250">
        <v>146.19999999999999</v>
      </c>
      <c r="E1250">
        <v>150.9</v>
      </c>
      <c r="F1250">
        <v>100</v>
      </c>
      <c r="G1250">
        <v>100</v>
      </c>
      <c r="H1250">
        <v>153.69999999999999</v>
      </c>
      <c r="I1250">
        <v>158.6</v>
      </c>
      <c r="J1250">
        <v>100</v>
      </c>
      <c r="K1250">
        <v>100</v>
      </c>
      <c r="L1250" s="1" t="s">
        <v>3046</v>
      </c>
      <c r="M1250" t="s">
        <v>554</v>
      </c>
      <c r="N1250">
        <v>2</v>
      </c>
    </row>
    <row r="1251" spans="1:14" x14ac:dyDescent="0.25">
      <c r="A1251" s="3" t="str">
        <f>HYPERLINK("http://www.ncbi.nlm.nih.gov/gene/1947","1947")</f>
        <v>1947</v>
      </c>
      <c r="B1251" s="1" t="s">
        <v>3048</v>
      </c>
      <c r="C1251" t="s">
        <v>3049</v>
      </c>
      <c r="D1251">
        <v>137.19999999999999</v>
      </c>
      <c r="E1251">
        <v>142.1</v>
      </c>
      <c r="F1251">
        <v>100</v>
      </c>
      <c r="G1251">
        <v>100</v>
      </c>
      <c r="H1251">
        <v>138.80000000000001</v>
      </c>
      <c r="I1251">
        <v>140.69999999999999</v>
      </c>
      <c r="J1251">
        <v>100</v>
      </c>
      <c r="K1251">
        <v>100</v>
      </c>
      <c r="L1251" s="1" t="s">
        <v>3048</v>
      </c>
      <c r="M1251" t="s">
        <v>3050</v>
      </c>
      <c r="N1251">
        <v>5</v>
      </c>
    </row>
    <row r="1252" spans="1:14" x14ac:dyDescent="0.25">
      <c r="A1252" s="3" t="str">
        <f>HYPERLINK("http://www.ncbi.nlm.nih.gov/gene/1948","1948")</f>
        <v>1948</v>
      </c>
      <c r="B1252" s="1" t="s">
        <v>3051</v>
      </c>
      <c r="C1252" t="s">
        <v>3052</v>
      </c>
      <c r="D1252">
        <v>161.1</v>
      </c>
      <c r="E1252">
        <v>175</v>
      </c>
      <c r="F1252">
        <v>100</v>
      </c>
      <c r="G1252">
        <v>99.8</v>
      </c>
      <c r="H1252">
        <v>155.69999999999999</v>
      </c>
      <c r="I1252">
        <v>160.5</v>
      </c>
      <c r="J1252">
        <v>100</v>
      </c>
      <c r="K1252">
        <v>100</v>
      </c>
      <c r="L1252" s="1" t="s">
        <v>3051</v>
      </c>
      <c r="M1252" t="s">
        <v>3053</v>
      </c>
      <c r="N1252">
        <v>3</v>
      </c>
    </row>
    <row r="1253" spans="1:14" x14ac:dyDescent="0.25">
      <c r="A1253" s="3" t="str">
        <f>HYPERLINK("http://www.ncbi.nlm.nih.gov/gene/9343","9343")</f>
        <v>9343</v>
      </c>
      <c r="B1253" s="1" t="s">
        <v>3054</v>
      </c>
      <c r="C1253" t="s">
        <v>3055</v>
      </c>
      <c r="D1253">
        <v>119.2</v>
      </c>
      <c r="E1253">
        <v>123.9</v>
      </c>
      <c r="F1253">
        <v>100</v>
      </c>
      <c r="G1253">
        <v>99.8</v>
      </c>
      <c r="H1253">
        <v>126.1</v>
      </c>
      <c r="I1253">
        <v>129.30000000000001</v>
      </c>
      <c r="J1253">
        <v>100</v>
      </c>
      <c r="K1253">
        <v>100</v>
      </c>
      <c r="L1253" s="1" t="s">
        <v>3054</v>
      </c>
      <c r="M1253" t="s">
        <v>3056</v>
      </c>
      <c r="N1253">
        <v>5</v>
      </c>
    </row>
    <row r="1254" spans="1:14" x14ac:dyDescent="0.25">
      <c r="A1254" s="3" t="str">
        <f>HYPERLINK("http://www.ncbi.nlm.nih.gov/gene/1950","1950")</f>
        <v>1950</v>
      </c>
      <c r="B1254" s="1" t="s">
        <v>3057</v>
      </c>
      <c r="C1254" t="s">
        <v>3058</v>
      </c>
      <c r="D1254">
        <v>124.9</v>
      </c>
      <c r="E1254">
        <v>129.4</v>
      </c>
      <c r="F1254">
        <v>99.9</v>
      </c>
      <c r="G1254">
        <v>99.7</v>
      </c>
      <c r="H1254">
        <v>136.19999999999999</v>
      </c>
      <c r="I1254">
        <v>141.1</v>
      </c>
      <c r="J1254">
        <v>100</v>
      </c>
      <c r="K1254">
        <v>100</v>
      </c>
      <c r="L1254" s="1" t="s">
        <v>3057</v>
      </c>
      <c r="M1254" t="s">
        <v>3059</v>
      </c>
      <c r="N1254">
        <v>4</v>
      </c>
    </row>
    <row r="1255" spans="1:14" x14ac:dyDescent="0.25">
      <c r="A1255" s="3" t="str">
        <f>HYPERLINK("http://www.ncbi.nlm.nih.gov/gene/1956","1956")</f>
        <v>1956</v>
      </c>
      <c r="B1255" s="1" t="s">
        <v>3060</v>
      </c>
      <c r="C1255" t="s">
        <v>3061</v>
      </c>
      <c r="D1255">
        <v>157.69999999999999</v>
      </c>
      <c r="E1255">
        <v>166.1</v>
      </c>
      <c r="F1255">
        <v>100</v>
      </c>
      <c r="G1255">
        <v>100</v>
      </c>
      <c r="H1255">
        <v>145.80000000000001</v>
      </c>
      <c r="I1255">
        <v>150.30000000000001</v>
      </c>
      <c r="J1255">
        <v>100</v>
      </c>
      <c r="K1255">
        <v>99.8</v>
      </c>
      <c r="L1255" s="1" t="s">
        <v>3060</v>
      </c>
      <c r="M1255" t="s">
        <v>3062</v>
      </c>
      <c r="N1255">
        <v>3</v>
      </c>
    </row>
    <row r="1256" spans="1:14" x14ac:dyDescent="0.25">
      <c r="A1256" s="3" t="str">
        <f>HYPERLINK("http://www.ncbi.nlm.nih.gov/gene/54583","54583")</f>
        <v>54583</v>
      </c>
      <c r="B1256" s="1" t="s">
        <v>3063</v>
      </c>
      <c r="C1256" t="s">
        <v>3064</v>
      </c>
      <c r="D1256">
        <v>92.6</v>
      </c>
      <c r="E1256">
        <v>78.2</v>
      </c>
      <c r="F1256">
        <v>89.3</v>
      </c>
      <c r="G1256">
        <v>82.2</v>
      </c>
      <c r="H1256">
        <v>120.3</v>
      </c>
      <c r="I1256">
        <v>126.8</v>
      </c>
      <c r="J1256">
        <v>100</v>
      </c>
      <c r="K1256">
        <v>100</v>
      </c>
      <c r="L1256" s="1" t="s">
        <v>3063</v>
      </c>
      <c r="M1256" t="s">
        <v>19</v>
      </c>
      <c r="N1256">
        <v>2</v>
      </c>
    </row>
    <row r="1257" spans="1:14" x14ac:dyDescent="0.25">
      <c r="A1257" s="3" t="str">
        <f>HYPERLINK("http://www.ncbi.nlm.nih.gov/gene/112398","112398")</f>
        <v>112398</v>
      </c>
      <c r="B1257" s="1" t="s">
        <v>3065</v>
      </c>
      <c r="C1257" t="s">
        <v>3066</v>
      </c>
      <c r="D1257">
        <v>137.1</v>
      </c>
      <c r="E1257">
        <v>138.4</v>
      </c>
      <c r="F1257">
        <v>100</v>
      </c>
      <c r="G1257">
        <v>99.8</v>
      </c>
      <c r="H1257">
        <v>144.19999999999999</v>
      </c>
      <c r="I1257">
        <v>145.19999999999999</v>
      </c>
      <c r="J1257">
        <v>100</v>
      </c>
      <c r="K1257">
        <v>100</v>
      </c>
      <c r="L1257" s="1" t="s">
        <v>3065</v>
      </c>
      <c r="M1257" t="s">
        <v>19</v>
      </c>
      <c r="N1257">
        <v>2</v>
      </c>
    </row>
    <row r="1258" spans="1:14" x14ac:dyDescent="0.25">
      <c r="A1258" s="3" t="str">
        <f>HYPERLINK("http://www.ncbi.nlm.nih.gov/gene/1959","1959")</f>
        <v>1959</v>
      </c>
      <c r="B1258" s="1" t="s">
        <v>3067</v>
      </c>
      <c r="C1258" t="s">
        <v>3068</v>
      </c>
      <c r="D1258">
        <v>154.69999999999999</v>
      </c>
      <c r="E1258">
        <v>152.69999999999999</v>
      </c>
      <c r="F1258">
        <v>100</v>
      </c>
      <c r="G1258">
        <v>100</v>
      </c>
      <c r="H1258">
        <v>172.2</v>
      </c>
      <c r="I1258">
        <v>173</v>
      </c>
      <c r="J1258">
        <v>100</v>
      </c>
      <c r="K1258">
        <v>100</v>
      </c>
      <c r="L1258" s="1" t="s">
        <v>3067</v>
      </c>
      <c r="M1258" t="s">
        <v>3069</v>
      </c>
      <c r="N1258">
        <v>4</v>
      </c>
    </row>
    <row r="1259" spans="1:14" x14ac:dyDescent="0.25">
      <c r="A1259" s="3" t="str">
        <f>HYPERLINK("http://www.ncbi.nlm.nih.gov/gene/1962","1962")</f>
        <v>1962</v>
      </c>
      <c r="B1259" s="1" t="s">
        <v>3070</v>
      </c>
      <c r="C1259" t="s">
        <v>3071</v>
      </c>
      <c r="D1259">
        <v>167.5</v>
      </c>
      <c r="E1259">
        <v>164.6</v>
      </c>
      <c r="F1259">
        <v>100</v>
      </c>
      <c r="G1259">
        <v>100</v>
      </c>
      <c r="H1259">
        <v>158.80000000000001</v>
      </c>
      <c r="I1259">
        <v>159.9</v>
      </c>
      <c r="J1259">
        <v>100</v>
      </c>
      <c r="K1259">
        <v>100</v>
      </c>
      <c r="L1259" s="1" t="s">
        <v>3070</v>
      </c>
      <c r="M1259" t="s">
        <v>3072</v>
      </c>
      <c r="N1259">
        <v>3</v>
      </c>
    </row>
    <row r="1260" spans="1:14" x14ac:dyDescent="0.25">
      <c r="A1260" s="3" t="str">
        <f>HYPERLINK("http://www.ncbi.nlm.nih.gov/gene/79813","79813")</f>
        <v>79813</v>
      </c>
      <c r="B1260" s="1" t="s">
        <v>3073</v>
      </c>
      <c r="C1260" t="s">
        <v>3074</v>
      </c>
      <c r="D1260">
        <v>138.4</v>
      </c>
      <c r="E1260">
        <v>138.6</v>
      </c>
      <c r="F1260">
        <v>94.5</v>
      </c>
      <c r="G1260">
        <v>93.7</v>
      </c>
      <c r="H1260">
        <v>140.6</v>
      </c>
      <c r="I1260">
        <v>144.1</v>
      </c>
      <c r="J1260">
        <v>99.6</v>
      </c>
      <c r="K1260">
        <v>99.5</v>
      </c>
      <c r="L1260" s="1" t="s">
        <v>3073</v>
      </c>
      <c r="M1260" t="s">
        <v>3075</v>
      </c>
      <c r="N1260">
        <v>5</v>
      </c>
    </row>
    <row r="1261" spans="1:14" x14ac:dyDescent="0.25">
      <c r="A1261" s="3" t="str">
        <f>HYPERLINK("http://www.ncbi.nlm.nih.gov/gene/27102","27102")</f>
        <v>27102</v>
      </c>
      <c r="B1261" s="1" t="s">
        <v>3076</v>
      </c>
      <c r="C1261" t="s">
        <v>3077</v>
      </c>
      <c r="D1261">
        <v>145.9</v>
      </c>
      <c r="E1261">
        <v>151.30000000000001</v>
      </c>
      <c r="F1261">
        <v>98.8</v>
      </c>
      <c r="G1261">
        <v>95.4</v>
      </c>
      <c r="H1261">
        <v>140.9</v>
      </c>
      <c r="I1261">
        <v>145</v>
      </c>
      <c r="J1261">
        <v>100</v>
      </c>
      <c r="K1261">
        <v>100</v>
      </c>
      <c r="L1261" s="1" t="s">
        <v>3076</v>
      </c>
      <c r="M1261" t="s">
        <v>189</v>
      </c>
      <c r="N1261">
        <v>2</v>
      </c>
    </row>
    <row r="1262" spans="1:14" x14ac:dyDescent="0.25">
      <c r="A1262" s="3" t="str">
        <f>HYPERLINK("http://www.ncbi.nlm.nih.gov/gene/5610","5610")</f>
        <v>5610</v>
      </c>
      <c r="B1262" s="1" t="s">
        <v>3078</v>
      </c>
      <c r="C1262" t="s">
        <v>3079</v>
      </c>
      <c r="D1262">
        <v>152.80000000000001</v>
      </c>
      <c r="E1262">
        <v>159.80000000000001</v>
      </c>
      <c r="F1262">
        <v>100</v>
      </c>
      <c r="G1262">
        <v>99.7</v>
      </c>
      <c r="H1262">
        <v>128.80000000000001</v>
      </c>
      <c r="I1262">
        <v>132.4</v>
      </c>
      <c r="J1262">
        <v>100</v>
      </c>
      <c r="K1262">
        <v>100</v>
      </c>
      <c r="L1262" s="1" t="s">
        <v>3078</v>
      </c>
      <c r="M1262" t="s">
        <v>189</v>
      </c>
      <c r="N1262">
        <v>2</v>
      </c>
    </row>
    <row r="1263" spans="1:14" x14ac:dyDescent="0.25">
      <c r="A1263" s="3" t="str">
        <f>HYPERLINK("http://www.ncbi.nlm.nih.gov/gene/9451","9451")</f>
        <v>9451</v>
      </c>
      <c r="B1263" s="1" t="s">
        <v>3080</v>
      </c>
      <c r="C1263" t="s">
        <v>3081</v>
      </c>
      <c r="D1263">
        <v>169.6</v>
      </c>
      <c r="E1263">
        <v>174.6</v>
      </c>
      <c r="F1263">
        <v>97.2</v>
      </c>
      <c r="G1263">
        <v>94.5</v>
      </c>
      <c r="H1263">
        <v>138</v>
      </c>
      <c r="I1263">
        <v>141.1</v>
      </c>
      <c r="J1263">
        <v>100</v>
      </c>
      <c r="K1263">
        <v>100</v>
      </c>
      <c r="L1263" s="1" t="s">
        <v>3080</v>
      </c>
      <c r="M1263" t="s">
        <v>1926</v>
      </c>
      <c r="N1263">
        <v>5</v>
      </c>
    </row>
    <row r="1264" spans="1:14" x14ac:dyDescent="0.25">
      <c r="A1264" s="3" t="str">
        <f>HYPERLINK("http://www.ncbi.nlm.nih.gov/gene/440275","440275")</f>
        <v>440275</v>
      </c>
      <c r="B1264" s="1" t="s">
        <v>3082</v>
      </c>
      <c r="C1264" t="s">
        <v>3083</v>
      </c>
      <c r="D1264">
        <v>142.19999999999999</v>
      </c>
      <c r="E1264">
        <v>144</v>
      </c>
      <c r="F1264">
        <v>99.8</v>
      </c>
      <c r="G1264">
        <v>98.6</v>
      </c>
      <c r="H1264">
        <v>130.69999999999999</v>
      </c>
      <c r="I1264">
        <v>133</v>
      </c>
      <c r="J1264">
        <v>100</v>
      </c>
      <c r="K1264">
        <v>100</v>
      </c>
      <c r="L1264" s="1" t="s">
        <v>3082</v>
      </c>
      <c r="M1264" t="s">
        <v>53</v>
      </c>
      <c r="N1264">
        <v>2</v>
      </c>
    </row>
    <row r="1265" spans="1:14" x14ac:dyDescent="0.25">
      <c r="A1265" s="3" t="str">
        <f>HYPERLINK("http://www.ncbi.nlm.nih.gov/gene/1967","1967")</f>
        <v>1967</v>
      </c>
      <c r="B1265" s="1" t="s">
        <v>3084</v>
      </c>
      <c r="C1265" t="s">
        <v>3085</v>
      </c>
      <c r="D1265">
        <v>138</v>
      </c>
      <c r="E1265">
        <v>143.6</v>
      </c>
      <c r="F1265">
        <v>100</v>
      </c>
      <c r="G1265">
        <v>100</v>
      </c>
      <c r="H1265">
        <v>132.6</v>
      </c>
      <c r="I1265">
        <v>135.5</v>
      </c>
      <c r="J1265">
        <v>100</v>
      </c>
      <c r="K1265">
        <v>100</v>
      </c>
      <c r="L1265" s="1" t="s">
        <v>3084</v>
      </c>
      <c r="M1265" t="s">
        <v>3086</v>
      </c>
      <c r="N1265">
        <v>4</v>
      </c>
    </row>
    <row r="1266" spans="1:14" x14ac:dyDescent="0.25">
      <c r="A1266" s="3" t="str">
        <f>HYPERLINK("http://www.ncbi.nlm.nih.gov/gene/8892","8892")</f>
        <v>8892</v>
      </c>
      <c r="B1266" s="1" t="s">
        <v>3087</v>
      </c>
      <c r="C1266" t="s">
        <v>3088</v>
      </c>
      <c r="D1266">
        <v>129.69999999999999</v>
      </c>
      <c r="E1266">
        <v>133.4</v>
      </c>
      <c r="F1266">
        <v>99.9</v>
      </c>
      <c r="G1266">
        <v>99.5</v>
      </c>
      <c r="H1266">
        <v>136.5</v>
      </c>
      <c r="I1266">
        <v>140.5</v>
      </c>
      <c r="J1266">
        <v>100</v>
      </c>
      <c r="K1266">
        <v>100</v>
      </c>
      <c r="L1266" s="1" t="s">
        <v>3087</v>
      </c>
      <c r="M1266" t="s">
        <v>3086</v>
      </c>
      <c r="N1266">
        <v>4</v>
      </c>
    </row>
    <row r="1267" spans="1:14" x14ac:dyDescent="0.25">
      <c r="A1267" s="3" t="str">
        <f>HYPERLINK("http://www.ncbi.nlm.nih.gov/gene/8891","8891")</f>
        <v>8891</v>
      </c>
      <c r="B1267" s="1" t="s">
        <v>3089</v>
      </c>
      <c r="C1267" t="s">
        <v>3090</v>
      </c>
      <c r="D1267">
        <v>172.5</v>
      </c>
      <c r="E1267">
        <v>179.6</v>
      </c>
      <c r="F1267">
        <v>100</v>
      </c>
      <c r="G1267">
        <v>100</v>
      </c>
      <c r="H1267">
        <v>132.5</v>
      </c>
      <c r="I1267">
        <v>136.4</v>
      </c>
      <c r="J1267">
        <v>100</v>
      </c>
      <c r="K1267">
        <v>100</v>
      </c>
      <c r="L1267" s="1" t="s">
        <v>3089</v>
      </c>
      <c r="M1267" t="s">
        <v>3086</v>
      </c>
      <c r="N1267">
        <v>4</v>
      </c>
    </row>
    <row r="1268" spans="1:14" x14ac:dyDescent="0.25">
      <c r="A1268" s="3" t="str">
        <f>HYPERLINK("http://www.ncbi.nlm.nih.gov/gene/8890","8890")</f>
        <v>8890</v>
      </c>
      <c r="B1268" s="1" t="s">
        <v>3091</v>
      </c>
      <c r="C1268" t="s">
        <v>3092</v>
      </c>
      <c r="D1268">
        <v>135.5</v>
      </c>
      <c r="E1268">
        <v>138.69999999999999</v>
      </c>
      <c r="F1268">
        <v>100</v>
      </c>
      <c r="G1268">
        <v>99.9</v>
      </c>
      <c r="H1268">
        <v>141.1</v>
      </c>
      <c r="I1268">
        <v>145.30000000000001</v>
      </c>
      <c r="J1268">
        <v>100</v>
      </c>
      <c r="K1268">
        <v>100</v>
      </c>
      <c r="L1268" s="1" t="s">
        <v>3091</v>
      </c>
      <c r="M1268" t="s">
        <v>548</v>
      </c>
      <c r="N1268">
        <v>5</v>
      </c>
    </row>
    <row r="1269" spans="1:14" x14ac:dyDescent="0.25">
      <c r="A1269" s="3" t="str">
        <f>HYPERLINK("http://www.ncbi.nlm.nih.gov/gene/8893","8893")</f>
        <v>8893</v>
      </c>
      <c r="B1269" s="1" t="s">
        <v>3093</v>
      </c>
      <c r="C1269" t="s">
        <v>3094</v>
      </c>
      <c r="D1269">
        <v>115.7</v>
      </c>
      <c r="E1269">
        <v>119.9</v>
      </c>
      <c r="F1269">
        <v>100</v>
      </c>
      <c r="G1269">
        <v>99.1</v>
      </c>
      <c r="H1269">
        <v>129.69999999999999</v>
      </c>
      <c r="I1269">
        <v>132.80000000000001</v>
      </c>
      <c r="J1269">
        <v>100</v>
      </c>
      <c r="K1269">
        <v>100</v>
      </c>
      <c r="L1269" s="1" t="s">
        <v>3093</v>
      </c>
      <c r="M1269" t="s">
        <v>3095</v>
      </c>
      <c r="N1269">
        <v>6</v>
      </c>
    </row>
    <row r="1270" spans="1:14" x14ac:dyDescent="0.25">
      <c r="A1270" s="3" t="str">
        <f>HYPERLINK("http://www.ncbi.nlm.nih.gov/gene/1968","1968")</f>
        <v>1968</v>
      </c>
      <c r="B1270" s="1" t="s">
        <v>3096</v>
      </c>
      <c r="C1270" t="s">
        <v>3097</v>
      </c>
      <c r="D1270">
        <v>89.4</v>
      </c>
      <c r="E1270">
        <v>91.9</v>
      </c>
      <c r="F1270">
        <v>95.4</v>
      </c>
      <c r="G1270">
        <v>89.1</v>
      </c>
      <c r="H1270">
        <v>131</v>
      </c>
      <c r="I1270">
        <v>134.6</v>
      </c>
      <c r="J1270">
        <v>100</v>
      </c>
      <c r="K1270">
        <v>100</v>
      </c>
      <c r="L1270" s="1" t="s">
        <v>3096</v>
      </c>
      <c r="M1270" t="s">
        <v>3098</v>
      </c>
      <c r="N1270">
        <v>3</v>
      </c>
    </row>
    <row r="1271" spans="1:14" x14ac:dyDescent="0.25">
      <c r="A1271" s="3" t="str">
        <f>HYPERLINK("http://www.ncbi.nlm.nih.gov/gene/8665","8665")</f>
        <v>8665</v>
      </c>
      <c r="B1271" s="1" t="s">
        <v>3099</v>
      </c>
      <c r="C1271" t="s">
        <v>3100</v>
      </c>
      <c r="D1271">
        <v>78</v>
      </c>
      <c r="E1271">
        <v>76</v>
      </c>
      <c r="F1271">
        <v>96.8</v>
      </c>
      <c r="G1271">
        <v>84.1</v>
      </c>
      <c r="H1271">
        <v>149.19999999999999</v>
      </c>
      <c r="I1271">
        <v>149.69999999999999</v>
      </c>
      <c r="J1271">
        <v>100</v>
      </c>
      <c r="K1271">
        <v>100</v>
      </c>
      <c r="L1271" s="1" t="s">
        <v>3099</v>
      </c>
      <c r="M1271" t="s">
        <v>228</v>
      </c>
      <c r="N1271">
        <v>3</v>
      </c>
    </row>
    <row r="1272" spans="1:14" x14ac:dyDescent="0.25">
      <c r="A1272" s="3" t="str">
        <f>HYPERLINK("http://www.ncbi.nlm.nih.gov/gene/9775","9775")</f>
        <v>9775</v>
      </c>
      <c r="B1272" s="1" t="s">
        <v>3101</v>
      </c>
      <c r="C1272" t="s">
        <v>3102</v>
      </c>
      <c r="D1272">
        <v>104.4</v>
      </c>
      <c r="E1272">
        <v>106.3</v>
      </c>
      <c r="F1272">
        <v>100</v>
      </c>
      <c r="G1272">
        <v>99.5</v>
      </c>
      <c r="H1272">
        <v>147.69999999999999</v>
      </c>
      <c r="I1272">
        <v>151.4</v>
      </c>
      <c r="J1272">
        <v>100</v>
      </c>
      <c r="K1272">
        <v>100</v>
      </c>
      <c r="L1272" s="1" t="s">
        <v>3101</v>
      </c>
      <c r="M1272" t="s">
        <v>3103</v>
      </c>
      <c r="N1272">
        <v>6</v>
      </c>
    </row>
    <row r="1273" spans="1:14" x14ac:dyDescent="0.25">
      <c r="A1273" s="3" t="str">
        <f>HYPERLINK("http://www.ncbi.nlm.nih.gov/gene/60528","60528")</f>
        <v>60528</v>
      </c>
      <c r="B1273" s="1" t="s">
        <v>3104</v>
      </c>
      <c r="C1273" t="s">
        <v>3105</v>
      </c>
      <c r="D1273">
        <v>124.5</v>
      </c>
      <c r="E1273">
        <v>124.7</v>
      </c>
      <c r="F1273">
        <v>100</v>
      </c>
      <c r="G1273">
        <v>99.7</v>
      </c>
      <c r="H1273">
        <v>139.9</v>
      </c>
      <c r="I1273">
        <v>142.69999999999999</v>
      </c>
      <c r="J1273">
        <v>100</v>
      </c>
      <c r="K1273">
        <v>100</v>
      </c>
      <c r="L1273" s="1" t="s">
        <v>3104</v>
      </c>
      <c r="M1273" t="s">
        <v>830</v>
      </c>
      <c r="N1273">
        <v>4</v>
      </c>
    </row>
    <row r="1274" spans="1:14" x14ac:dyDescent="0.25">
      <c r="A1274" s="3" t="str">
        <f>HYPERLINK("http://www.ncbi.nlm.nih.gov/gene/1991","1991")</f>
        <v>1991</v>
      </c>
      <c r="B1274" s="1" t="s">
        <v>3106</v>
      </c>
      <c r="C1274" t="s">
        <v>3107</v>
      </c>
      <c r="D1274">
        <v>134</v>
      </c>
      <c r="E1274">
        <v>143.19999999999999</v>
      </c>
      <c r="F1274">
        <v>99.7</v>
      </c>
      <c r="G1274">
        <v>97.4</v>
      </c>
      <c r="H1274">
        <v>200</v>
      </c>
      <c r="I1274">
        <v>206.6</v>
      </c>
      <c r="J1274">
        <v>100</v>
      </c>
      <c r="K1274">
        <v>100</v>
      </c>
      <c r="L1274" s="1" t="s">
        <v>3106</v>
      </c>
      <c r="M1274" t="s">
        <v>3108</v>
      </c>
      <c r="N1274">
        <v>4</v>
      </c>
    </row>
    <row r="1275" spans="1:14" x14ac:dyDescent="0.25">
      <c r="A1275" s="3" t="str">
        <f>HYPERLINK("http://www.ncbi.nlm.nih.gov/gene/2000","2000")</f>
        <v>2000</v>
      </c>
      <c r="B1275" s="1" t="s">
        <v>3109</v>
      </c>
      <c r="C1275" t="s">
        <v>3110</v>
      </c>
      <c r="D1275">
        <v>93.8</v>
      </c>
      <c r="E1275">
        <v>96</v>
      </c>
      <c r="F1275">
        <v>100</v>
      </c>
      <c r="G1275">
        <v>99.7</v>
      </c>
      <c r="H1275">
        <v>143.80000000000001</v>
      </c>
      <c r="I1275">
        <v>146.30000000000001</v>
      </c>
      <c r="J1275">
        <v>100</v>
      </c>
      <c r="K1275">
        <v>100</v>
      </c>
      <c r="L1275" s="1" t="s">
        <v>3109</v>
      </c>
      <c r="M1275" t="s">
        <v>3111</v>
      </c>
      <c r="N1275">
        <v>2</v>
      </c>
    </row>
    <row r="1276" spans="1:14" x14ac:dyDescent="0.25">
      <c r="A1276" s="3" t="str">
        <f>HYPERLINK("http://www.ncbi.nlm.nih.gov/gene/63916","63916")</f>
        <v>63916</v>
      </c>
      <c r="B1276" s="1" t="s">
        <v>3112</v>
      </c>
      <c r="C1276" t="s">
        <v>3113</v>
      </c>
      <c r="D1276">
        <v>106.1</v>
      </c>
      <c r="E1276">
        <v>108.5</v>
      </c>
      <c r="F1276">
        <v>99.9</v>
      </c>
      <c r="G1276">
        <v>99</v>
      </c>
      <c r="H1276">
        <v>127.5</v>
      </c>
      <c r="I1276">
        <v>130.5</v>
      </c>
      <c r="J1276">
        <v>100</v>
      </c>
      <c r="K1276">
        <v>100</v>
      </c>
      <c r="L1276" s="1" t="s">
        <v>3112</v>
      </c>
      <c r="M1276" t="s">
        <v>53</v>
      </c>
      <c r="N1276">
        <v>2</v>
      </c>
    </row>
    <row r="1277" spans="1:14" x14ac:dyDescent="0.25">
      <c r="A1277" s="3" t="str">
        <f>HYPERLINK("http://www.ncbi.nlm.nih.gov/gene/84173","84173")</f>
        <v>84173</v>
      </c>
      <c r="B1277" s="1" t="s">
        <v>3114</v>
      </c>
      <c r="C1277" t="s">
        <v>3115</v>
      </c>
      <c r="D1277">
        <v>155.4</v>
      </c>
      <c r="E1277">
        <v>159.6</v>
      </c>
      <c r="F1277">
        <v>100</v>
      </c>
      <c r="G1277">
        <v>99.8</v>
      </c>
      <c r="H1277">
        <v>140</v>
      </c>
      <c r="I1277">
        <v>143.4</v>
      </c>
      <c r="J1277">
        <v>100</v>
      </c>
      <c r="K1277">
        <v>100</v>
      </c>
      <c r="L1277" s="1" t="s">
        <v>3114</v>
      </c>
      <c r="M1277" t="s">
        <v>269</v>
      </c>
      <c r="N1277">
        <v>3</v>
      </c>
    </row>
    <row r="1278" spans="1:14" x14ac:dyDescent="0.25">
      <c r="A1278" s="3" t="str">
        <f>HYPERLINK("http://www.ncbi.nlm.nih.gov/gene/2006","2006")</f>
        <v>2006</v>
      </c>
      <c r="B1278" s="1" t="s">
        <v>3116</v>
      </c>
      <c r="C1278" t="s">
        <v>3117</v>
      </c>
      <c r="D1278">
        <v>118.1</v>
      </c>
      <c r="E1278">
        <v>118.7</v>
      </c>
      <c r="F1278">
        <v>99.8</v>
      </c>
      <c r="G1278">
        <v>97.8</v>
      </c>
      <c r="H1278">
        <v>166.1</v>
      </c>
      <c r="I1278">
        <v>168.9</v>
      </c>
      <c r="J1278">
        <v>100</v>
      </c>
      <c r="K1278">
        <v>100</v>
      </c>
      <c r="L1278" s="1" t="s">
        <v>3116</v>
      </c>
      <c r="M1278" t="s">
        <v>3118</v>
      </c>
      <c r="N1278">
        <v>5</v>
      </c>
    </row>
    <row r="1279" spans="1:14" x14ac:dyDescent="0.25">
      <c r="A1279" s="3" t="str">
        <f>HYPERLINK("http://www.ncbi.nlm.nih.gov/gene/64834","64834")</f>
        <v>64834</v>
      </c>
      <c r="B1279" s="1" t="s">
        <v>3119</v>
      </c>
      <c r="C1279" t="s">
        <v>3120</v>
      </c>
      <c r="D1279">
        <v>91.3</v>
      </c>
      <c r="E1279">
        <v>94</v>
      </c>
      <c r="F1279">
        <v>99.8</v>
      </c>
      <c r="G1279">
        <v>97.6</v>
      </c>
      <c r="H1279">
        <v>120.7</v>
      </c>
      <c r="I1279">
        <v>123.3</v>
      </c>
      <c r="J1279">
        <v>100</v>
      </c>
      <c r="K1279">
        <v>100</v>
      </c>
      <c r="L1279" s="1" t="s">
        <v>3119</v>
      </c>
      <c r="M1279" t="s">
        <v>3121</v>
      </c>
      <c r="N1279">
        <v>4</v>
      </c>
    </row>
    <row r="1280" spans="1:14" x14ac:dyDescent="0.25">
      <c r="A1280" s="3" t="str">
        <f>HYPERLINK("http://www.ncbi.nlm.nih.gov/gene/6785","6785")</f>
        <v>6785</v>
      </c>
      <c r="B1280" s="1" t="s">
        <v>3122</v>
      </c>
      <c r="C1280" t="s">
        <v>3123</v>
      </c>
      <c r="D1280">
        <v>115.4</v>
      </c>
      <c r="E1280">
        <v>122.7</v>
      </c>
      <c r="F1280">
        <v>100</v>
      </c>
      <c r="G1280">
        <v>99.5</v>
      </c>
      <c r="H1280">
        <v>133.19999999999999</v>
      </c>
      <c r="I1280">
        <v>137.6</v>
      </c>
      <c r="J1280">
        <v>100</v>
      </c>
      <c r="K1280">
        <v>100</v>
      </c>
      <c r="L1280" s="1" t="s">
        <v>3122</v>
      </c>
      <c r="M1280" t="s">
        <v>3124</v>
      </c>
      <c r="N1280">
        <v>7</v>
      </c>
    </row>
    <row r="1281" spans="1:14" x14ac:dyDescent="0.25">
      <c r="A1281" s="3" t="str">
        <f>HYPERLINK("http://www.ncbi.nlm.nih.gov/gene/60481","60481")</f>
        <v>60481</v>
      </c>
      <c r="B1281" s="1" t="s">
        <v>3125</v>
      </c>
      <c r="C1281" t="s">
        <v>3126</v>
      </c>
      <c r="D1281">
        <v>124.1</v>
      </c>
      <c r="E1281">
        <v>130</v>
      </c>
      <c r="F1281">
        <v>100</v>
      </c>
      <c r="G1281">
        <v>99.8</v>
      </c>
      <c r="H1281">
        <v>135.30000000000001</v>
      </c>
      <c r="I1281">
        <v>138.9</v>
      </c>
      <c r="J1281">
        <v>100</v>
      </c>
      <c r="K1281">
        <v>100</v>
      </c>
      <c r="L1281" s="1" t="s">
        <v>3125</v>
      </c>
      <c r="M1281" t="s">
        <v>3127</v>
      </c>
      <c r="N1281">
        <v>3</v>
      </c>
    </row>
    <row r="1282" spans="1:14" x14ac:dyDescent="0.25">
      <c r="A1282" s="3" t="str">
        <f>HYPERLINK("http://www.ncbi.nlm.nih.gov/gene/8518","8518")</f>
        <v>8518</v>
      </c>
      <c r="B1282" s="1" t="s">
        <v>3128</v>
      </c>
      <c r="C1282" t="s">
        <v>3129</v>
      </c>
      <c r="D1282">
        <v>145</v>
      </c>
      <c r="E1282">
        <v>149.30000000000001</v>
      </c>
      <c r="F1282">
        <v>99.8</v>
      </c>
      <c r="G1282">
        <v>99</v>
      </c>
      <c r="H1282">
        <v>133.4</v>
      </c>
      <c r="I1282">
        <v>136.80000000000001</v>
      </c>
      <c r="J1282">
        <v>100</v>
      </c>
      <c r="K1282">
        <v>100</v>
      </c>
      <c r="L1282" s="1" t="s">
        <v>3128</v>
      </c>
      <c r="M1282" t="s">
        <v>3130</v>
      </c>
      <c r="N1282">
        <v>6</v>
      </c>
    </row>
    <row r="1283" spans="1:14" x14ac:dyDescent="0.25">
      <c r="A1283" s="3" t="str">
        <f>HYPERLINK("http://www.ncbi.nlm.nih.gov/gene/55250","55250")</f>
        <v>55250</v>
      </c>
      <c r="B1283" s="1" t="s">
        <v>3131</v>
      </c>
      <c r="C1283" t="s">
        <v>3132</v>
      </c>
      <c r="D1283">
        <v>132.9</v>
      </c>
      <c r="E1283">
        <v>136.80000000000001</v>
      </c>
      <c r="F1283">
        <v>99.9</v>
      </c>
      <c r="G1283">
        <v>98.8</v>
      </c>
      <c r="H1283">
        <v>129</v>
      </c>
      <c r="I1283">
        <v>132.4</v>
      </c>
      <c r="J1283">
        <v>100</v>
      </c>
      <c r="K1283">
        <v>100</v>
      </c>
      <c r="L1283" s="1" t="s">
        <v>3131</v>
      </c>
      <c r="M1283" t="s">
        <v>228</v>
      </c>
      <c r="N1283">
        <v>3</v>
      </c>
    </row>
    <row r="1284" spans="1:14" x14ac:dyDescent="0.25">
      <c r="A1284" s="3" t="str">
        <f>HYPERLINK("http://www.ncbi.nlm.nih.gov/gene/26610","26610")</f>
        <v>26610</v>
      </c>
      <c r="B1284" s="1" t="s">
        <v>3133</v>
      </c>
      <c r="C1284" t="s">
        <v>3134</v>
      </c>
      <c r="D1284">
        <v>59.4</v>
      </c>
      <c r="E1284">
        <v>61.3</v>
      </c>
      <c r="F1284">
        <v>72.8</v>
      </c>
      <c r="G1284">
        <v>70.2</v>
      </c>
      <c r="H1284">
        <v>119.1</v>
      </c>
      <c r="I1284">
        <v>123</v>
      </c>
      <c r="J1284">
        <v>87.1</v>
      </c>
      <c r="K1284">
        <v>87.1</v>
      </c>
      <c r="L1284" s="1" t="s">
        <v>3133</v>
      </c>
      <c r="M1284" t="s">
        <v>285</v>
      </c>
      <c r="N1284">
        <v>1</v>
      </c>
    </row>
    <row r="1285" spans="1:14" x14ac:dyDescent="0.25">
      <c r="A1285" s="3" t="str">
        <f>HYPERLINK("http://www.ncbi.nlm.nih.gov/gene/23065","23065")</f>
        <v>23065</v>
      </c>
      <c r="B1285" s="1" t="s">
        <v>3135</v>
      </c>
      <c r="C1285" t="s">
        <v>3136</v>
      </c>
      <c r="D1285">
        <v>127.8</v>
      </c>
      <c r="E1285">
        <v>133.6</v>
      </c>
      <c r="F1285">
        <v>100</v>
      </c>
      <c r="G1285">
        <v>99.3</v>
      </c>
      <c r="H1285">
        <v>143.6</v>
      </c>
      <c r="I1285">
        <v>147.80000000000001</v>
      </c>
      <c r="J1285">
        <v>100</v>
      </c>
      <c r="K1285">
        <v>100</v>
      </c>
      <c r="L1285" s="1" t="s">
        <v>3135</v>
      </c>
      <c r="M1285" t="s">
        <v>1642</v>
      </c>
      <c r="N1285">
        <v>4</v>
      </c>
    </row>
    <row r="1286" spans="1:14" x14ac:dyDescent="0.25">
      <c r="A1286" s="3" t="str">
        <f>HYPERLINK("http://www.ncbi.nlm.nih.gov/gene/2010","2010")</f>
        <v>2010</v>
      </c>
      <c r="B1286" s="1" t="s">
        <v>3137</v>
      </c>
      <c r="C1286" t="s">
        <v>3138</v>
      </c>
      <c r="D1286">
        <v>146.69999999999999</v>
      </c>
      <c r="E1286">
        <v>150.1</v>
      </c>
      <c r="F1286">
        <v>99.9</v>
      </c>
      <c r="G1286">
        <v>98.4</v>
      </c>
      <c r="H1286">
        <v>114.1</v>
      </c>
      <c r="I1286">
        <v>117</v>
      </c>
      <c r="J1286">
        <v>100</v>
      </c>
      <c r="K1286">
        <v>99.1</v>
      </c>
      <c r="L1286" s="1" t="s">
        <v>3137</v>
      </c>
      <c r="M1286" t="s">
        <v>3139</v>
      </c>
      <c r="N1286">
        <v>3</v>
      </c>
    </row>
    <row r="1287" spans="1:14" x14ac:dyDescent="0.25">
      <c r="A1287" s="3" t="str">
        <f>HYPERLINK("http://www.ncbi.nlm.nih.gov/gene/10436","10436")</f>
        <v>10436</v>
      </c>
      <c r="B1287" s="1" t="s">
        <v>3140</v>
      </c>
      <c r="C1287" t="s">
        <v>3141</v>
      </c>
      <c r="D1287">
        <v>137.5</v>
      </c>
      <c r="E1287">
        <v>139.9</v>
      </c>
      <c r="F1287">
        <v>100</v>
      </c>
      <c r="G1287">
        <v>100</v>
      </c>
      <c r="H1287">
        <v>132.1</v>
      </c>
      <c r="I1287">
        <v>134.9</v>
      </c>
      <c r="J1287">
        <v>100</v>
      </c>
      <c r="K1287">
        <v>100</v>
      </c>
      <c r="L1287" s="1" t="s">
        <v>3140</v>
      </c>
      <c r="M1287" t="s">
        <v>53</v>
      </c>
      <c r="N1287">
        <v>2</v>
      </c>
    </row>
    <row r="1288" spans="1:14" x14ac:dyDescent="0.25">
      <c r="A1288" s="3" t="str">
        <f>HYPERLINK("http://www.ncbi.nlm.nih.gov/gene/11117","11117")</f>
        <v>11117</v>
      </c>
      <c r="B1288" s="1" t="s">
        <v>3142</v>
      </c>
      <c r="C1288" t="s">
        <v>3143</v>
      </c>
      <c r="D1288">
        <v>110.5</v>
      </c>
      <c r="E1288">
        <v>107.7</v>
      </c>
      <c r="F1288">
        <v>99.3</v>
      </c>
      <c r="G1288">
        <v>89.8</v>
      </c>
      <c r="H1288">
        <v>135</v>
      </c>
      <c r="I1288">
        <v>136.6</v>
      </c>
      <c r="J1288">
        <v>100</v>
      </c>
      <c r="K1288">
        <v>100</v>
      </c>
      <c r="L1288" s="1" t="s">
        <v>3142</v>
      </c>
      <c r="M1288" t="s">
        <v>3144</v>
      </c>
      <c r="N1288">
        <v>4</v>
      </c>
    </row>
    <row r="1289" spans="1:14" x14ac:dyDescent="0.25">
      <c r="A1289" s="3" t="str">
        <f>HYPERLINK("http://www.ncbi.nlm.nih.gov/gene/2009","2009")</f>
        <v>2009</v>
      </c>
      <c r="B1289" s="1" t="s">
        <v>3145</v>
      </c>
      <c r="C1289" t="s">
        <v>3146</v>
      </c>
      <c r="D1289">
        <v>148.69999999999999</v>
      </c>
      <c r="E1289">
        <v>152.6</v>
      </c>
      <c r="F1289">
        <v>99.7</v>
      </c>
      <c r="G1289">
        <v>98.4</v>
      </c>
      <c r="H1289">
        <v>135.4</v>
      </c>
      <c r="I1289">
        <v>139.1</v>
      </c>
      <c r="J1289">
        <v>100</v>
      </c>
      <c r="K1289">
        <v>100</v>
      </c>
      <c r="L1289" s="1" t="s">
        <v>3145</v>
      </c>
      <c r="M1289" t="s">
        <v>228</v>
      </c>
      <c r="N1289">
        <v>3</v>
      </c>
    </row>
    <row r="1290" spans="1:14" x14ac:dyDescent="0.25">
      <c r="A1290" s="3" t="str">
        <f>HYPERLINK("http://www.ncbi.nlm.nih.gov/gene/2013","2013")</f>
        <v>2013</v>
      </c>
      <c r="B1290" s="1" t="s">
        <v>3147</v>
      </c>
      <c r="C1290" t="s">
        <v>3148</v>
      </c>
      <c r="D1290">
        <v>85</v>
      </c>
      <c r="E1290">
        <v>88.6</v>
      </c>
      <c r="F1290">
        <v>99.9</v>
      </c>
      <c r="G1290">
        <v>96.7</v>
      </c>
      <c r="H1290">
        <v>127.4</v>
      </c>
      <c r="I1290">
        <v>130.9</v>
      </c>
      <c r="J1290">
        <v>100</v>
      </c>
      <c r="K1290">
        <v>100</v>
      </c>
      <c r="L1290" s="1" t="s">
        <v>3147</v>
      </c>
      <c r="M1290" t="s">
        <v>357</v>
      </c>
      <c r="N1290">
        <v>3</v>
      </c>
    </row>
    <row r="1291" spans="1:14" x14ac:dyDescent="0.25">
      <c r="A1291" s="3" t="str">
        <f>HYPERLINK("http://www.ncbi.nlm.nih.gov/gene/2018","2018")</f>
        <v>2018</v>
      </c>
      <c r="B1291" s="1" t="s">
        <v>3149</v>
      </c>
      <c r="D1291">
        <v>169.3</v>
      </c>
      <c r="E1291">
        <v>159</v>
      </c>
      <c r="F1291">
        <v>100</v>
      </c>
      <c r="G1291">
        <v>100</v>
      </c>
      <c r="H1291">
        <v>168.9</v>
      </c>
      <c r="I1291">
        <v>170.8</v>
      </c>
      <c r="J1291">
        <v>100</v>
      </c>
      <c r="K1291">
        <v>100</v>
      </c>
      <c r="L1291" s="1" t="s">
        <v>3149</v>
      </c>
      <c r="M1291" t="s">
        <v>3150</v>
      </c>
      <c r="N1291">
        <v>2</v>
      </c>
    </row>
    <row r="1292" spans="1:14" x14ac:dyDescent="0.25">
      <c r="A1292" s="3" t="str">
        <f>HYPERLINK("http://www.ncbi.nlm.nih.gov/gene/10117","10117")</f>
        <v>10117</v>
      </c>
      <c r="B1292" s="1" t="s">
        <v>3151</v>
      </c>
      <c r="C1292" t="s">
        <v>3152</v>
      </c>
      <c r="D1292">
        <v>172.5</v>
      </c>
      <c r="E1292">
        <v>166.6</v>
      </c>
      <c r="F1292">
        <v>100</v>
      </c>
      <c r="G1292">
        <v>100</v>
      </c>
      <c r="H1292">
        <v>143</v>
      </c>
      <c r="I1292">
        <v>141.5</v>
      </c>
      <c r="J1292">
        <v>100</v>
      </c>
      <c r="K1292">
        <v>100</v>
      </c>
      <c r="L1292" s="1" t="s">
        <v>3151</v>
      </c>
      <c r="M1292" t="s">
        <v>3153</v>
      </c>
      <c r="N1292">
        <v>4</v>
      </c>
    </row>
    <row r="1293" spans="1:14" x14ac:dyDescent="0.25">
      <c r="A1293" s="3" t="str">
        <f>HYPERLINK("http://www.ncbi.nlm.nih.gov/gene/2022","2022")</f>
        <v>2022</v>
      </c>
      <c r="B1293" s="1" t="s">
        <v>3154</v>
      </c>
      <c r="C1293" t="s">
        <v>3155</v>
      </c>
      <c r="D1293">
        <v>125.8</v>
      </c>
      <c r="E1293">
        <v>130.6</v>
      </c>
      <c r="F1293">
        <v>99.6</v>
      </c>
      <c r="G1293">
        <v>96</v>
      </c>
      <c r="H1293">
        <v>141.19999999999999</v>
      </c>
      <c r="I1293">
        <v>145.1</v>
      </c>
      <c r="J1293">
        <v>100</v>
      </c>
      <c r="K1293">
        <v>100</v>
      </c>
      <c r="L1293" s="1" t="s">
        <v>3154</v>
      </c>
      <c r="M1293" t="s">
        <v>211</v>
      </c>
      <c r="N1293">
        <v>4</v>
      </c>
    </row>
    <row r="1294" spans="1:14" x14ac:dyDescent="0.25">
      <c r="A1294" s="3" t="str">
        <f>HYPERLINK("http://www.ncbi.nlm.nih.gov/gene/2027","2027")</f>
        <v>2027</v>
      </c>
      <c r="B1294" s="1" t="s">
        <v>3156</v>
      </c>
      <c r="C1294" t="s">
        <v>3157</v>
      </c>
      <c r="D1294">
        <v>181</v>
      </c>
      <c r="E1294">
        <v>186.4</v>
      </c>
      <c r="F1294">
        <v>100</v>
      </c>
      <c r="G1294">
        <v>99.9</v>
      </c>
      <c r="H1294">
        <v>135</v>
      </c>
      <c r="I1294">
        <v>138.19999999999999</v>
      </c>
      <c r="J1294">
        <v>100</v>
      </c>
      <c r="K1294">
        <v>100</v>
      </c>
      <c r="L1294" s="1" t="s">
        <v>3156</v>
      </c>
      <c r="M1294" t="s">
        <v>3158</v>
      </c>
      <c r="N1294">
        <v>4</v>
      </c>
    </row>
    <row r="1295" spans="1:14" x14ac:dyDescent="0.25">
      <c r="A1295" s="3" t="str">
        <f>HYPERLINK("http://www.ncbi.nlm.nih.gov/gene/5167","5167")</f>
        <v>5167</v>
      </c>
      <c r="B1295" s="1" t="s">
        <v>3159</v>
      </c>
      <c r="C1295" t="s">
        <v>3160</v>
      </c>
      <c r="D1295">
        <v>144.30000000000001</v>
      </c>
      <c r="E1295">
        <v>149.80000000000001</v>
      </c>
      <c r="F1295">
        <v>96.4</v>
      </c>
      <c r="G1295">
        <v>91.2</v>
      </c>
      <c r="H1295">
        <v>123.6</v>
      </c>
      <c r="I1295">
        <v>126.7</v>
      </c>
      <c r="J1295">
        <v>98.7</v>
      </c>
      <c r="K1295">
        <v>97.8</v>
      </c>
      <c r="L1295" s="1" t="s">
        <v>3159</v>
      </c>
      <c r="M1295" t="s">
        <v>3161</v>
      </c>
      <c r="N1295">
        <v>6</v>
      </c>
    </row>
    <row r="1296" spans="1:14" x14ac:dyDescent="0.25">
      <c r="A1296" s="3" t="str">
        <f>HYPERLINK("http://www.ncbi.nlm.nih.gov/gene/953","953")</f>
        <v>953</v>
      </c>
      <c r="B1296" s="1" t="s">
        <v>3162</v>
      </c>
      <c r="C1296" t="s">
        <v>3163</v>
      </c>
      <c r="D1296">
        <v>157</v>
      </c>
      <c r="E1296">
        <v>160.69999999999999</v>
      </c>
      <c r="F1296">
        <v>100</v>
      </c>
      <c r="G1296">
        <v>100</v>
      </c>
      <c r="H1296">
        <v>141.19999999999999</v>
      </c>
      <c r="I1296">
        <v>146.6</v>
      </c>
      <c r="J1296">
        <v>100</v>
      </c>
      <c r="K1296">
        <v>100</v>
      </c>
      <c r="L1296" s="1" t="s">
        <v>3162</v>
      </c>
      <c r="M1296" t="s">
        <v>228</v>
      </c>
      <c r="N1296">
        <v>3</v>
      </c>
    </row>
    <row r="1297" spans="1:14" x14ac:dyDescent="0.25">
      <c r="A1297" s="3" t="str">
        <f>HYPERLINK("http://www.ncbi.nlm.nih.gov/gene/285203","285203")</f>
        <v>285203</v>
      </c>
      <c r="B1297" s="1" t="s">
        <v>3164</v>
      </c>
      <c r="C1297" t="s">
        <v>3165</v>
      </c>
      <c r="D1297">
        <v>121.7</v>
      </c>
      <c r="E1297">
        <v>125.8</v>
      </c>
      <c r="F1297">
        <v>79.400000000000006</v>
      </c>
      <c r="G1297">
        <v>78.400000000000006</v>
      </c>
      <c r="H1297">
        <v>104.2</v>
      </c>
      <c r="I1297">
        <v>103.2</v>
      </c>
      <c r="J1297">
        <v>91.9</v>
      </c>
      <c r="K1297">
        <v>89</v>
      </c>
      <c r="L1297" s="1" t="s">
        <v>3164</v>
      </c>
      <c r="M1297" t="s">
        <v>3166</v>
      </c>
      <c r="N1297">
        <v>5</v>
      </c>
    </row>
    <row r="1298" spans="1:14" x14ac:dyDescent="0.25">
      <c r="A1298" s="3" t="str">
        <f>HYPERLINK("http://www.ncbi.nlm.nih.gov/gene/2033","2033")</f>
        <v>2033</v>
      </c>
      <c r="B1298" s="1" t="s">
        <v>3167</v>
      </c>
      <c r="C1298" t="s">
        <v>3168</v>
      </c>
      <c r="D1298">
        <v>191.7</v>
      </c>
      <c r="E1298">
        <v>192</v>
      </c>
      <c r="F1298">
        <v>99.8</v>
      </c>
      <c r="G1298">
        <v>99</v>
      </c>
      <c r="H1298">
        <v>151.9</v>
      </c>
      <c r="I1298">
        <v>153.9</v>
      </c>
      <c r="J1298">
        <v>100</v>
      </c>
      <c r="K1298">
        <v>100</v>
      </c>
      <c r="L1298" s="1" t="s">
        <v>3167</v>
      </c>
      <c r="M1298" t="s">
        <v>3169</v>
      </c>
      <c r="N1298">
        <v>4</v>
      </c>
    </row>
    <row r="1299" spans="1:14" x14ac:dyDescent="0.25">
      <c r="A1299" s="3" t="str">
        <f>HYPERLINK("http://www.ncbi.nlm.nih.gov/gene/2034","2034")</f>
        <v>2034</v>
      </c>
      <c r="B1299" s="1" t="s">
        <v>3170</v>
      </c>
      <c r="C1299" t="s">
        <v>3171</v>
      </c>
      <c r="D1299">
        <v>155.5</v>
      </c>
      <c r="E1299">
        <v>160.69999999999999</v>
      </c>
      <c r="F1299">
        <v>99.7</v>
      </c>
      <c r="G1299">
        <v>98.1</v>
      </c>
      <c r="H1299">
        <v>141.30000000000001</v>
      </c>
      <c r="I1299">
        <v>143.4</v>
      </c>
      <c r="J1299">
        <v>100</v>
      </c>
      <c r="K1299">
        <v>100</v>
      </c>
      <c r="L1299" s="1" t="s">
        <v>3170</v>
      </c>
      <c r="M1299" t="s">
        <v>22</v>
      </c>
      <c r="N1299">
        <v>1</v>
      </c>
    </row>
    <row r="1300" spans="1:14" x14ac:dyDescent="0.25">
      <c r="A1300" s="3" t="str">
        <f>HYPERLINK("http://www.ncbi.nlm.nih.gov/gene/2035","2035")</f>
        <v>2035</v>
      </c>
      <c r="B1300" s="1" t="s">
        <v>3172</v>
      </c>
      <c r="C1300" t="s">
        <v>3173</v>
      </c>
      <c r="D1300">
        <v>117.8</v>
      </c>
      <c r="E1300">
        <v>118.7</v>
      </c>
      <c r="F1300">
        <v>85.3</v>
      </c>
      <c r="G1300">
        <v>83.9</v>
      </c>
      <c r="H1300">
        <v>123.3</v>
      </c>
      <c r="I1300">
        <v>126.6</v>
      </c>
      <c r="J1300">
        <v>100</v>
      </c>
      <c r="K1300">
        <v>100</v>
      </c>
      <c r="L1300" s="1" t="s">
        <v>3172</v>
      </c>
      <c r="M1300" t="s">
        <v>675</v>
      </c>
      <c r="N1300">
        <v>2</v>
      </c>
    </row>
    <row r="1301" spans="1:14" x14ac:dyDescent="0.25">
      <c r="A1301" s="3" t="str">
        <f>HYPERLINK("http://www.ncbi.nlm.nih.gov/gene/2036","2036")</f>
        <v>2036</v>
      </c>
      <c r="B1301" s="1" t="s">
        <v>3174</v>
      </c>
      <c r="C1301" t="s">
        <v>3175</v>
      </c>
      <c r="D1301">
        <v>159.4</v>
      </c>
      <c r="E1301">
        <v>163.69999999999999</v>
      </c>
      <c r="F1301">
        <v>99.8</v>
      </c>
      <c r="G1301">
        <v>97.7</v>
      </c>
      <c r="H1301">
        <v>147.5</v>
      </c>
      <c r="I1301">
        <v>149.5</v>
      </c>
      <c r="J1301">
        <v>97.8</v>
      </c>
      <c r="K1301">
        <v>97.8</v>
      </c>
      <c r="L1301" s="1" t="s">
        <v>3174</v>
      </c>
      <c r="M1301" t="s">
        <v>285</v>
      </c>
      <c r="N1301">
        <v>1</v>
      </c>
    </row>
    <row r="1302" spans="1:14" x14ac:dyDescent="0.25">
      <c r="A1302" s="3" t="str">
        <f>HYPERLINK("http://www.ncbi.nlm.nih.gov/gene/2038","2038")</f>
        <v>2038</v>
      </c>
      <c r="B1302" s="1" t="s">
        <v>3176</v>
      </c>
      <c r="C1302" t="s">
        <v>3177</v>
      </c>
      <c r="D1302">
        <v>140.9</v>
      </c>
      <c r="E1302">
        <v>147.1</v>
      </c>
      <c r="F1302">
        <v>100</v>
      </c>
      <c r="G1302">
        <v>99.5</v>
      </c>
      <c r="H1302">
        <v>134.1</v>
      </c>
      <c r="I1302">
        <v>138.30000000000001</v>
      </c>
      <c r="J1302">
        <v>100</v>
      </c>
      <c r="K1302">
        <v>100</v>
      </c>
      <c r="L1302" s="1" t="s">
        <v>3176</v>
      </c>
      <c r="M1302" t="s">
        <v>428</v>
      </c>
      <c r="N1302">
        <v>2</v>
      </c>
    </row>
    <row r="1303" spans="1:14" x14ac:dyDescent="0.25">
      <c r="A1303" s="3" t="str">
        <f>HYPERLINK("http://www.ncbi.nlm.nih.gov/gene/4072","4072")</f>
        <v>4072</v>
      </c>
      <c r="B1303" s="1" t="s">
        <v>3178</v>
      </c>
      <c r="C1303" t="s">
        <v>3179</v>
      </c>
      <c r="D1303">
        <v>91.5</v>
      </c>
      <c r="E1303">
        <v>93.7</v>
      </c>
      <c r="F1303">
        <v>98.6</v>
      </c>
      <c r="G1303">
        <v>90.3</v>
      </c>
      <c r="H1303">
        <v>104.9</v>
      </c>
      <c r="I1303">
        <v>107.8</v>
      </c>
      <c r="J1303">
        <v>99.8</v>
      </c>
      <c r="K1303">
        <v>98.3</v>
      </c>
      <c r="L1303" s="1" t="s">
        <v>3178</v>
      </c>
      <c r="M1303" t="s">
        <v>3180</v>
      </c>
      <c r="N1303">
        <v>3</v>
      </c>
    </row>
    <row r="1304" spans="1:14" x14ac:dyDescent="0.25">
      <c r="A1304" s="3" t="str">
        <f>HYPERLINK("http://www.ncbi.nlm.nih.gov/gene/57724","57724")</f>
        <v>57724</v>
      </c>
      <c r="B1304" s="1" t="s">
        <v>3181</v>
      </c>
      <c r="C1304" t="s">
        <v>3182</v>
      </c>
      <c r="D1304">
        <v>132.19999999999999</v>
      </c>
      <c r="E1304">
        <v>137.80000000000001</v>
      </c>
      <c r="F1304">
        <v>99.5</v>
      </c>
      <c r="G1304">
        <v>98.5</v>
      </c>
      <c r="H1304">
        <v>137.4</v>
      </c>
      <c r="I1304">
        <v>141</v>
      </c>
      <c r="J1304">
        <v>100</v>
      </c>
      <c r="K1304">
        <v>100</v>
      </c>
      <c r="L1304" s="1" t="s">
        <v>3181</v>
      </c>
      <c r="M1304" t="s">
        <v>3183</v>
      </c>
      <c r="N1304">
        <v>7</v>
      </c>
    </row>
    <row r="1305" spans="1:14" x14ac:dyDescent="0.25">
      <c r="A1305" s="3" t="str">
        <f>HYPERLINK("http://www.ncbi.nlm.nih.gov/gene/1969","1969")</f>
        <v>1969</v>
      </c>
      <c r="B1305" s="1" t="s">
        <v>3184</v>
      </c>
      <c r="C1305" t="s">
        <v>3185</v>
      </c>
      <c r="D1305">
        <v>156.69999999999999</v>
      </c>
      <c r="E1305">
        <v>158.5</v>
      </c>
      <c r="F1305">
        <v>100</v>
      </c>
      <c r="G1305">
        <v>99.5</v>
      </c>
      <c r="H1305">
        <v>149.19999999999999</v>
      </c>
      <c r="I1305">
        <v>153.1</v>
      </c>
      <c r="J1305">
        <v>100</v>
      </c>
      <c r="K1305">
        <v>100</v>
      </c>
      <c r="L1305" s="1" t="s">
        <v>3184</v>
      </c>
      <c r="M1305" t="s">
        <v>302</v>
      </c>
      <c r="N1305">
        <v>2</v>
      </c>
    </row>
    <row r="1306" spans="1:14" x14ac:dyDescent="0.25">
      <c r="A1306" s="3" t="str">
        <f>HYPERLINK("http://www.ncbi.nlm.nih.gov/gene/2048","2048")</f>
        <v>2048</v>
      </c>
      <c r="B1306" s="1" t="s">
        <v>3186</v>
      </c>
      <c r="C1306" t="s">
        <v>3187</v>
      </c>
      <c r="D1306">
        <v>198.3</v>
      </c>
      <c r="E1306">
        <v>200.8</v>
      </c>
      <c r="F1306">
        <v>98.1</v>
      </c>
      <c r="G1306">
        <v>98.1</v>
      </c>
      <c r="H1306">
        <v>158</v>
      </c>
      <c r="I1306">
        <v>162.1</v>
      </c>
      <c r="J1306">
        <v>99.8</v>
      </c>
      <c r="K1306">
        <v>98.8</v>
      </c>
      <c r="L1306" s="1" t="s">
        <v>3186</v>
      </c>
      <c r="M1306" t="s">
        <v>1563</v>
      </c>
      <c r="N1306">
        <v>2</v>
      </c>
    </row>
    <row r="1307" spans="1:14" x14ac:dyDescent="0.25">
      <c r="A1307" s="3" t="str">
        <f>HYPERLINK("http://www.ncbi.nlm.nih.gov/gene/2050","2050")</f>
        <v>2050</v>
      </c>
      <c r="B1307" s="1" t="s">
        <v>3188</v>
      </c>
      <c r="C1307" t="s">
        <v>3189</v>
      </c>
      <c r="D1307">
        <v>164.4</v>
      </c>
      <c r="E1307">
        <v>173.8</v>
      </c>
      <c r="F1307">
        <v>100</v>
      </c>
      <c r="G1307">
        <v>99.7</v>
      </c>
      <c r="H1307">
        <v>142.19999999999999</v>
      </c>
      <c r="I1307">
        <v>147.5</v>
      </c>
      <c r="J1307">
        <v>100</v>
      </c>
      <c r="K1307">
        <v>100</v>
      </c>
      <c r="L1307" s="1" t="s">
        <v>3188</v>
      </c>
      <c r="M1307" t="s">
        <v>285</v>
      </c>
      <c r="N1307">
        <v>1</v>
      </c>
    </row>
    <row r="1308" spans="1:14" x14ac:dyDescent="0.25">
      <c r="A1308" s="3" t="str">
        <f>HYPERLINK("http://www.ncbi.nlm.nih.gov/gene/2052","2052")</f>
        <v>2052</v>
      </c>
      <c r="B1308" s="1" t="s">
        <v>3190</v>
      </c>
      <c r="C1308" t="s">
        <v>3191</v>
      </c>
      <c r="D1308">
        <v>130.69999999999999</v>
      </c>
      <c r="E1308">
        <v>137.1</v>
      </c>
      <c r="F1308">
        <v>99.9</v>
      </c>
      <c r="G1308">
        <v>98.8</v>
      </c>
      <c r="H1308">
        <v>145.5</v>
      </c>
      <c r="I1308">
        <v>150.5</v>
      </c>
      <c r="J1308">
        <v>100</v>
      </c>
      <c r="K1308">
        <v>100</v>
      </c>
      <c r="L1308" s="1" t="s">
        <v>3190</v>
      </c>
      <c r="M1308" t="s">
        <v>96</v>
      </c>
      <c r="N1308">
        <v>4</v>
      </c>
    </row>
    <row r="1309" spans="1:14" x14ac:dyDescent="0.25">
      <c r="A1309" s="3" t="str">
        <f>HYPERLINK("http://www.ncbi.nlm.nih.gov/gene/2053","2053")</f>
        <v>2053</v>
      </c>
      <c r="B1309" s="1" t="s">
        <v>3192</v>
      </c>
      <c r="C1309" t="s">
        <v>3193</v>
      </c>
      <c r="D1309">
        <v>117</v>
      </c>
      <c r="E1309">
        <v>120.2</v>
      </c>
      <c r="F1309">
        <v>99.5</v>
      </c>
      <c r="G1309">
        <v>96.2</v>
      </c>
      <c r="H1309">
        <v>130.6</v>
      </c>
      <c r="I1309">
        <v>133</v>
      </c>
      <c r="J1309">
        <v>100</v>
      </c>
      <c r="K1309">
        <v>100</v>
      </c>
      <c r="L1309" s="1" t="s">
        <v>3192</v>
      </c>
      <c r="M1309" t="s">
        <v>93</v>
      </c>
      <c r="N1309">
        <v>2</v>
      </c>
    </row>
    <row r="1310" spans="1:14" x14ac:dyDescent="0.25">
      <c r="A1310" s="3" t="str">
        <f>HYPERLINK("http://www.ncbi.nlm.nih.gov/gene/7957","7957")</f>
        <v>7957</v>
      </c>
      <c r="B1310" s="1" t="s">
        <v>3194</v>
      </c>
      <c r="C1310" t="s">
        <v>3195</v>
      </c>
      <c r="D1310">
        <v>137.5</v>
      </c>
      <c r="E1310">
        <v>138.30000000000001</v>
      </c>
      <c r="F1310">
        <v>94.2</v>
      </c>
      <c r="G1310">
        <v>91.5</v>
      </c>
      <c r="H1310">
        <v>118.4</v>
      </c>
      <c r="I1310">
        <v>117.6</v>
      </c>
      <c r="J1310">
        <v>100</v>
      </c>
      <c r="K1310">
        <v>97.7</v>
      </c>
      <c r="L1310" s="1" t="s">
        <v>3194</v>
      </c>
      <c r="M1310" t="s">
        <v>2040</v>
      </c>
      <c r="N1310">
        <v>3</v>
      </c>
    </row>
    <row r="1311" spans="1:14" x14ac:dyDescent="0.25">
      <c r="A1311" s="3" t="str">
        <f>HYPERLINK("http://www.ncbi.nlm.nih.gov/gene/2056","2056")</f>
        <v>2056</v>
      </c>
      <c r="B1311" s="1" t="s">
        <v>3196</v>
      </c>
      <c r="C1311" t="s">
        <v>3197</v>
      </c>
      <c r="D1311">
        <v>100.6</v>
      </c>
      <c r="E1311">
        <v>102.8</v>
      </c>
      <c r="F1311">
        <v>99.9</v>
      </c>
      <c r="G1311">
        <v>97.6</v>
      </c>
      <c r="H1311">
        <v>144.80000000000001</v>
      </c>
      <c r="I1311">
        <v>149.1</v>
      </c>
      <c r="J1311">
        <v>100</v>
      </c>
      <c r="K1311">
        <v>100</v>
      </c>
      <c r="L1311" s="1" t="s">
        <v>3196</v>
      </c>
      <c r="M1311" t="s">
        <v>3198</v>
      </c>
      <c r="N1311">
        <v>3</v>
      </c>
    </row>
    <row r="1312" spans="1:14" x14ac:dyDescent="0.25">
      <c r="A1312" s="3" t="str">
        <f>HYPERLINK("http://www.ncbi.nlm.nih.gov/gene/2058","2058")</f>
        <v>2058</v>
      </c>
      <c r="B1312" s="1" t="s">
        <v>3199</v>
      </c>
      <c r="C1312" t="s">
        <v>3200</v>
      </c>
      <c r="D1312">
        <v>168.2</v>
      </c>
      <c r="E1312">
        <v>173.6</v>
      </c>
      <c r="F1312">
        <v>100</v>
      </c>
      <c r="G1312">
        <v>99.6</v>
      </c>
      <c r="H1312">
        <v>142.1</v>
      </c>
      <c r="I1312">
        <v>146.30000000000001</v>
      </c>
      <c r="J1312">
        <v>100</v>
      </c>
      <c r="K1312">
        <v>100</v>
      </c>
      <c r="L1312" s="1" t="s">
        <v>3199</v>
      </c>
      <c r="M1312" t="s">
        <v>53</v>
      </c>
      <c r="N1312">
        <v>2</v>
      </c>
    </row>
    <row r="1313" spans="1:14" x14ac:dyDescent="0.25">
      <c r="A1313" s="3" t="str">
        <f>HYPERLINK("http://www.ncbi.nlm.nih.gov/gene/2059","2059")</f>
        <v>2059</v>
      </c>
      <c r="B1313" s="1" t="s">
        <v>3201</v>
      </c>
      <c r="C1313" t="s">
        <v>3202</v>
      </c>
      <c r="D1313">
        <v>137</v>
      </c>
      <c r="E1313">
        <v>141</v>
      </c>
      <c r="F1313">
        <v>97</v>
      </c>
      <c r="G1313">
        <v>96.2</v>
      </c>
      <c r="H1313">
        <v>142.19999999999999</v>
      </c>
      <c r="I1313">
        <v>146.19999999999999</v>
      </c>
      <c r="J1313">
        <v>100</v>
      </c>
      <c r="K1313">
        <v>100</v>
      </c>
      <c r="L1313" s="1" t="s">
        <v>3201</v>
      </c>
      <c r="M1313" t="s">
        <v>269</v>
      </c>
      <c r="N1313">
        <v>3</v>
      </c>
    </row>
    <row r="1314" spans="1:14" x14ac:dyDescent="0.25">
      <c r="A1314" s="3" t="str">
        <f>HYPERLINK("http://www.ncbi.nlm.nih.gov/gene/64787","64787")</f>
        <v>64787</v>
      </c>
      <c r="B1314" s="1" t="s">
        <v>3203</v>
      </c>
      <c r="C1314" t="s">
        <v>3204</v>
      </c>
      <c r="D1314">
        <v>121.1</v>
      </c>
      <c r="E1314">
        <v>123.5</v>
      </c>
      <c r="F1314">
        <v>84.5</v>
      </c>
      <c r="G1314">
        <v>82.5</v>
      </c>
      <c r="H1314">
        <v>120.9</v>
      </c>
      <c r="I1314">
        <v>123.6</v>
      </c>
      <c r="J1314">
        <v>88</v>
      </c>
      <c r="K1314">
        <v>88</v>
      </c>
      <c r="L1314" s="1" t="s">
        <v>3203</v>
      </c>
      <c r="M1314" t="s">
        <v>269</v>
      </c>
      <c r="N1314">
        <v>3</v>
      </c>
    </row>
    <row r="1315" spans="1:14" x14ac:dyDescent="0.25">
      <c r="A1315" s="3" t="str">
        <f>HYPERLINK("http://www.ncbi.nlm.nih.gov/gene/79574","79574")</f>
        <v>79574</v>
      </c>
      <c r="B1315" s="1" t="s">
        <v>3205</v>
      </c>
      <c r="C1315" t="s">
        <v>3206</v>
      </c>
      <c r="D1315">
        <v>116.2</v>
      </c>
      <c r="E1315">
        <v>119.7</v>
      </c>
      <c r="F1315">
        <v>98.9</v>
      </c>
      <c r="G1315">
        <v>97.3</v>
      </c>
      <c r="H1315">
        <v>135.9</v>
      </c>
      <c r="I1315">
        <v>139.19999999999999</v>
      </c>
      <c r="J1315">
        <v>100</v>
      </c>
      <c r="K1315">
        <v>100</v>
      </c>
      <c r="L1315" s="1" t="s">
        <v>3205</v>
      </c>
      <c r="M1315" t="s">
        <v>29</v>
      </c>
      <c r="N1315">
        <v>2</v>
      </c>
    </row>
    <row r="1316" spans="1:14" x14ac:dyDescent="0.25">
      <c r="A1316" s="3" t="str">
        <f>HYPERLINK("http://www.ncbi.nlm.nih.gov/gene/26284","26284")</f>
        <v>26284</v>
      </c>
      <c r="B1316" s="1" t="s">
        <v>3207</v>
      </c>
      <c r="C1316" t="s">
        <v>3208</v>
      </c>
      <c r="D1316">
        <v>175.4</v>
      </c>
      <c r="E1316">
        <v>173.9</v>
      </c>
      <c r="F1316">
        <v>100</v>
      </c>
      <c r="G1316">
        <v>99.7</v>
      </c>
      <c r="H1316">
        <v>137.4</v>
      </c>
      <c r="I1316">
        <v>140.80000000000001</v>
      </c>
      <c r="J1316">
        <v>100</v>
      </c>
      <c r="K1316">
        <v>100</v>
      </c>
      <c r="L1316" s="1" t="s">
        <v>3207</v>
      </c>
      <c r="M1316" t="s">
        <v>3209</v>
      </c>
      <c r="N1316">
        <v>4</v>
      </c>
    </row>
    <row r="1317" spans="1:14" x14ac:dyDescent="0.25">
      <c r="A1317" s="3" t="str">
        <f>HYPERLINK("http://www.ncbi.nlm.nih.gov/gene/2064","2064")</f>
        <v>2064</v>
      </c>
      <c r="B1317" s="1" t="s">
        <v>3210</v>
      </c>
      <c r="C1317" t="s">
        <v>3211</v>
      </c>
      <c r="D1317">
        <v>150.1</v>
      </c>
      <c r="E1317">
        <v>154.6</v>
      </c>
      <c r="F1317">
        <v>98.4</v>
      </c>
      <c r="G1317">
        <v>97.1</v>
      </c>
      <c r="H1317">
        <v>144.6</v>
      </c>
      <c r="I1317">
        <v>149.19999999999999</v>
      </c>
      <c r="J1317">
        <v>100</v>
      </c>
      <c r="K1317">
        <v>100</v>
      </c>
      <c r="L1317" s="1" t="s">
        <v>3210</v>
      </c>
      <c r="M1317" t="s">
        <v>22</v>
      </c>
      <c r="N1317">
        <v>1</v>
      </c>
    </row>
    <row r="1318" spans="1:14" x14ac:dyDescent="0.25">
      <c r="A1318" s="3" t="str">
        <f>HYPERLINK("http://www.ncbi.nlm.nih.gov/gene/2065","2065")</f>
        <v>2065</v>
      </c>
      <c r="B1318" s="1" t="s">
        <v>3212</v>
      </c>
      <c r="C1318" t="s">
        <v>3213</v>
      </c>
      <c r="D1318">
        <v>131</v>
      </c>
      <c r="E1318">
        <v>132.9</v>
      </c>
      <c r="F1318">
        <v>100</v>
      </c>
      <c r="G1318">
        <v>99.8</v>
      </c>
      <c r="H1318">
        <v>134.19999999999999</v>
      </c>
      <c r="I1318">
        <v>137.6</v>
      </c>
      <c r="J1318">
        <v>100</v>
      </c>
      <c r="K1318">
        <v>100</v>
      </c>
      <c r="L1318" s="1" t="s">
        <v>3212</v>
      </c>
      <c r="M1318" t="s">
        <v>1147</v>
      </c>
      <c r="N1318">
        <v>4</v>
      </c>
    </row>
    <row r="1319" spans="1:14" x14ac:dyDescent="0.25">
      <c r="A1319" s="3" t="str">
        <f>HYPERLINK("http://www.ncbi.nlm.nih.gov/gene/2066","2066")</f>
        <v>2066</v>
      </c>
      <c r="B1319" s="1" t="s">
        <v>3214</v>
      </c>
      <c r="C1319" t="s">
        <v>3215</v>
      </c>
      <c r="D1319">
        <v>150.69999999999999</v>
      </c>
      <c r="E1319">
        <v>157.19999999999999</v>
      </c>
      <c r="F1319">
        <v>100</v>
      </c>
      <c r="G1319">
        <v>99.5</v>
      </c>
      <c r="H1319">
        <v>142.69999999999999</v>
      </c>
      <c r="I1319">
        <v>145.80000000000001</v>
      </c>
      <c r="J1319">
        <v>100</v>
      </c>
      <c r="K1319">
        <v>100</v>
      </c>
      <c r="L1319" s="1" t="s">
        <v>3214</v>
      </c>
      <c r="M1319" t="s">
        <v>617</v>
      </c>
      <c r="N1319">
        <v>2</v>
      </c>
    </row>
    <row r="1320" spans="1:14" x14ac:dyDescent="0.25">
      <c r="A1320" s="3" t="str">
        <f>HYPERLINK("http://www.ncbi.nlm.nih.gov/gene/2067","2067")</f>
        <v>2067</v>
      </c>
      <c r="B1320" s="1" t="s">
        <v>3216</v>
      </c>
      <c r="C1320" t="s">
        <v>3217</v>
      </c>
      <c r="D1320">
        <v>85.4</v>
      </c>
      <c r="E1320">
        <v>88.2</v>
      </c>
      <c r="F1320">
        <v>100</v>
      </c>
      <c r="G1320">
        <v>99.3</v>
      </c>
      <c r="H1320">
        <v>111.7</v>
      </c>
      <c r="I1320">
        <v>114.3</v>
      </c>
      <c r="J1320">
        <v>100</v>
      </c>
      <c r="K1320">
        <v>100</v>
      </c>
      <c r="L1320" s="1" t="s">
        <v>3216</v>
      </c>
      <c r="M1320" t="s">
        <v>2619</v>
      </c>
      <c r="N1320">
        <v>4</v>
      </c>
    </row>
    <row r="1321" spans="1:14" x14ac:dyDescent="0.25">
      <c r="A1321" s="3" t="str">
        <f>HYPERLINK("http://www.ncbi.nlm.nih.gov/gene/2068","2068")</f>
        <v>2068</v>
      </c>
      <c r="B1321" s="1" t="s">
        <v>3218</v>
      </c>
      <c r="C1321" t="s">
        <v>3219</v>
      </c>
      <c r="D1321">
        <v>133.19999999999999</v>
      </c>
      <c r="E1321">
        <v>135.5</v>
      </c>
      <c r="F1321">
        <v>100</v>
      </c>
      <c r="G1321">
        <v>99.7</v>
      </c>
      <c r="H1321">
        <v>135.30000000000001</v>
      </c>
      <c r="I1321">
        <v>137.9</v>
      </c>
      <c r="J1321">
        <v>100</v>
      </c>
      <c r="K1321">
        <v>100</v>
      </c>
      <c r="L1321" s="1" t="s">
        <v>3218</v>
      </c>
      <c r="M1321" t="s">
        <v>3220</v>
      </c>
      <c r="N1321">
        <v>7</v>
      </c>
    </row>
    <row r="1322" spans="1:14" x14ac:dyDescent="0.25">
      <c r="A1322" s="3" t="str">
        <f>HYPERLINK("http://www.ncbi.nlm.nih.gov/gene/2071","2071")</f>
        <v>2071</v>
      </c>
      <c r="B1322" s="1" t="s">
        <v>3221</v>
      </c>
      <c r="C1322" t="s">
        <v>3222</v>
      </c>
      <c r="D1322">
        <v>100.8</v>
      </c>
      <c r="E1322">
        <v>107.8</v>
      </c>
      <c r="F1322">
        <v>96.9</v>
      </c>
      <c r="G1322">
        <v>96.3</v>
      </c>
      <c r="H1322">
        <v>143.6</v>
      </c>
      <c r="I1322">
        <v>148.6</v>
      </c>
      <c r="J1322">
        <v>100</v>
      </c>
      <c r="K1322">
        <v>100</v>
      </c>
      <c r="L1322" s="1" t="s">
        <v>3221</v>
      </c>
      <c r="M1322" t="s">
        <v>3223</v>
      </c>
      <c r="N1322">
        <v>7</v>
      </c>
    </row>
    <row r="1323" spans="1:14" x14ac:dyDescent="0.25">
      <c r="A1323" s="3" t="str">
        <f>HYPERLINK("http://www.ncbi.nlm.nih.gov/gene/2072","2072")</f>
        <v>2072</v>
      </c>
      <c r="B1323" s="1" t="s">
        <v>3224</v>
      </c>
      <c r="C1323" t="s">
        <v>3225</v>
      </c>
      <c r="D1323">
        <v>136.6</v>
      </c>
      <c r="E1323">
        <v>141.69999999999999</v>
      </c>
      <c r="F1323">
        <v>100</v>
      </c>
      <c r="G1323">
        <v>99.9</v>
      </c>
      <c r="H1323">
        <v>138.19999999999999</v>
      </c>
      <c r="I1323">
        <v>141.69999999999999</v>
      </c>
      <c r="J1323">
        <v>100</v>
      </c>
      <c r="K1323">
        <v>100</v>
      </c>
      <c r="L1323" s="1" t="s">
        <v>3224</v>
      </c>
      <c r="M1323" t="s">
        <v>3226</v>
      </c>
      <c r="N1323">
        <v>5</v>
      </c>
    </row>
    <row r="1324" spans="1:14" x14ac:dyDescent="0.25">
      <c r="A1324" s="3" t="str">
        <f>HYPERLINK("http://www.ncbi.nlm.nih.gov/gene/2073","2073")</f>
        <v>2073</v>
      </c>
      <c r="B1324" s="1" t="s">
        <v>3227</v>
      </c>
      <c r="C1324" t="s">
        <v>3228</v>
      </c>
      <c r="D1324">
        <v>144.5</v>
      </c>
      <c r="E1324">
        <v>143.4</v>
      </c>
      <c r="F1324">
        <v>100</v>
      </c>
      <c r="G1324">
        <v>99.7</v>
      </c>
      <c r="H1324">
        <v>140.1</v>
      </c>
      <c r="I1324">
        <v>143.69999999999999</v>
      </c>
      <c r="J1324">
        <v>100</v>
      </c>
      <c r="K1324">
        <v>100</v>
      </c>
      <c r="L1324" s="1" t="s">
        <v>3227</v>
      </c>
      <c r="M1324" t="s">
        <v>3229</v>
      </c>
      <c r="N1324">
        <v>6</v>
      </c>
    </row>
    <row r="1325" spans="1:14" x14ac:dyDescent="0.25">
      <c r="A1325" s="3" t="str">
        <f>HYPERLINK("http://www.ncbi.nlm.nih.gov/gene/2074","2074")</f>
        <v>2074</v>
      </c>
      <c r="B1325" s="1" t="s">
        <v>3230</v>
      </c>
      <c r="C1325" t="s">
        <v>3231</v>
      </c>
      <c r="D1325">
        <v>195.9</v>
      </c>
      <c r="E1325">
        <v>197</v>
      </c>
      <c r="F1325">
        <v>100</v>
      </c>
      <c r="G1325">
        <v>100</v>
      </c>
      <c r="H1325">
        <v>148.9</v>
      </c>
      <c r="I1325">
        <v>150.19999999999999</v>
      </c>
      <c r="J1325">
        <v>100</v>
      </c>
      <c r="K1325">
        <v>100</v>
      </c>
      <c r="L1325" s="1" t="s">
        <v>3230</v>
      </c>
      <c r="M1325" t="s">
        <v>3232</v>
      </c>
      <c r="N1325">
        <v>6</v>
      </c>
    </row>
    <row r="1326" spans="1:14" x14ac:dyDescent="0.25">
      <c r="A1326" s="3" t="str">
        <f>HYPERLINK("http://www.ncbi.nlm.nih.gov/gene/375748","375748")</f>
        <v>375748</v>
      </c>
      <c r="B1326" s="1" t="s">
        <v>3233</v>
      </c>
      <c r="C1326" t="s">
        <v>3234</v>
      </c>
      <c r="D1326">
        <v>157.4</v>
      </c>
      <c r="E1326">
        <v>158.4</v>
      </c>
      <c r="F1326">
        <v>99.9</v>
      </c>
      <c r="G1326">
        <v>99.2</v>
      </c>
      <c r="H1326">
        <v>139.6</v>
      </c>
      <c r="I1326">
        <v>141.69999999999999</v>
      </c>
      <c r="J1326">
        <v>100</v>
      </c>
      <c r="K1326">
        <v>100</v>
      </c>
      <c r="L1326" s="1" t="s">
        <v>3233</v>
      </c>
      <c r="M1326" t="s">
        <v>3235</v>
      </c>
      <c r="N1326">
        <v>3</v>
      </c>
    </row>
    <row r="1327" spans="1:14" x14ac:dyDescent="0.25">
      <c r="A1327" s="3" t="str">
        <f>HYPERLINK("http://www.ncbi.nlm.nih.gov/gene/1161","1161")</f>
        <v>1161</v>
      </c>
      <c r="B1327" s="1" t="s">
        <v>3236</v>
      </c>
      <c r="C1327" t="s">
        <v>3237</v>
      </c>
      <c r="D1327">
        <v>100.4</v>
      </c>
      <c r="E1327">
        <v>103</v>
      </c>
      <c r="F1327">
        <v>99.5</v>
      </c>
      <c r="G1327">
        <v>95.8</v>
      </c>
      <c r="H1327">
        <v>126</v>
      </c>
      <c r="I1327">
        <v>128.9</v>
      </c>
      <c r="J1327">
        <v>100</v>
      </c>
      <c r="K1327">
        <v>100</v>
      </c>
      <c r="L1327" s="1" t="s">
        <v>3236</v>
      </c>
      <c r="M1327" t="s">
        <v>3238</v>
      </c>
      <c r="N1327">
        <v>4</v>
      </c>
    </row>
    <row r="1328" spans="1:14" x14ac:dyDescent="0.25">
      <c r="A1328" s="3" t="str">
        <f>HYPERLINK("http://www.ncbi.nlm.nih.gov/gene/2077","2077")</f>
        <v>2077</v>
      </c>
      <c r="B1328" s="1" t="s">
        <v>3239</v>
      </c>
      <c r="C1328" t="s">
        <v>3240</v>
      </c>
      <c r="D1328">
        <v>143.1</v>
      </c>
      <c r="E1328">
        <v>144.80000000000001</v>
      </c>
      <c r="F1328">
        <v>99.9</v>
      </c>
      <c r="G1328">
        <v>98.5</v>
      </c>
      <c r="H1328">
        <v>155.5</v>
      </c>
      <c r="I1328">
        <v>155.80000000000001</v>
      </c>
      <c r="J1328">
        <v>100</v>
      </c>
      <c r="K1328">
        <v>100</v>
      </c>
      <c r="L1328" s="1" t="s">
        <v>3239</v>
      </c>
      <c r="M1328" t="s">
        <v>3241</v>
      </c>
      <c r="N1328">
        <v>3</v>
      </c>
    </row>
    <row r="1329" spans="1:14" x14ac:dyDescent="0.25">
      <c r="A1329" s="3" t="str">
        <f>HYPERLINK("http://www.ncbi.nlm.nih.gov/gene/2078","2078")</f>
        <v>2078</v>
      </c>
      <c r="B1329" s="1" t="s">
        <v>3242</v>
      </c>
      <c r="C1329" t="s">
        <v>3243</v>
      </c>
      <c r="D1329">
        <v>111.7</v>
      </c>
      <c r="E1329">
        <v>114</v>
      </c>
      <c r="F1329">
        <v>99.1</v>
      </c>
      <c r="G1329">
        <v>98.8</v>
      </c>
      <c r="H1329">
        <v>150.69999999999999</v>
      </c>
      <c r="I1329">
        <v>154.80000000000001</v>
      </c>
      <c r="J1329">
        <v>100</v>
      </c>
      <c r="K1329">
        <v>100</v>
      </c>
      <c r="L1329" s="1" t="s">
        <v>3242</v>
      </c>
      <c r="M1329" t="s">
        <v>661</v>
      </c>
      <c r="N1329">
        <v>2</v>
      </c>
    </row>
    <row r="1330" spans="1:14" x14ac:dyDescent="0.25">
      <c r="A1330" s="3" t="str">
        <f>HYPERLINK("http://www.ncbi.nlm.nih.gov/gene/57222","57222")</f>
        <v>57222</v>
      </c>
      <c r="B1330" s="1" t="s">
        <v>3244</v>
      </c>
      <c r="C1330" t="s">
        <v>3245</v>
      </c>
      <c r="D1330">
        <v>205.6</v>
      </c>
      <c r="E1330">
        <v>216</v>
      </c>
      <c r="F1330">
        <v>95.2</v>
      </c>
      <c r="G1330">
        <v>94.6</v>
      </c>
      <c r="H1330">
        <v>133.1</v>
      </c>
      <c r="I1330">
        <v>138.30000000000001</v>
      </c>
      <c r="J1330">
        <v>98.4</v>
      </c>
      <c r="K1330">
        <v>98.4</v>
      </c>
      <c r="L1330" s="1" t="s">
        <v>3244</v>
      </c>
      <c r="M1330" t="s">
        <v>53</v>
      </c>
      <c r="N1330">
        <v>2</v>
      </c>
    </row>
    <row r="1331" spans="1:14" x14ac:dyDescent="0.25">
      <c r="A1331" s="3" t="str">
        <f>HYPERLINK("http://www.ncbi.nlm.nih.gov/gene/10613","10613")</f>
        <v>10613</v>
      </c>
      <c r="B1331" s="1" t="s">
        <v>3246</v>
      </c>
      <c r="C1331" t="s">
        <v>3247</v>
      </c>
      <c r="D1331">
        <v>175.2</v>
      </c>
      <c r="E1331">
        <v>177.6</v>
      </c>
      <c r="F1331">
        <v>100</v>
      </c>
      <c r="G1331">
        <v>100</v>
      </c>
      <c r="H1331">
        <v>128.69999999999999</v>
      </c>
      <c r="I1331">
        <v>131.19999999999999</v>
      </c>
      <c r="J1331">
        <v>100</v>
      </c>
      <c r="K1331">
        <v>100</v>
      </c>
      <c r="L1331" s="1" t="s">
        <v>3246</v>
      </c>
      <c r="M1331" t="s">
        <v>53</v>
      </c>
      <c r="N1331">
        <v>2</v>
      </c>
    </row>
    <row r="1332" spans="1:14" x14ac:dyDescent="0.25">
      <c r="A1332" s="3" t="str">
        <f>HYPERLINK("http://www.ncbi.nlm.nih.gov/gene/11160","11160")</f>
        <v>11160</v>
      </c>
      <c r="B1332" s="1" t="s">
        <v>3248</v>
      </c>
      <c r="C1332" t="s">
        <v>3249</v>
      </c>
      <c r="D1332">
        <v>132.1</v>
      </c>
      <c r="E1332">
        <v>140.9</v>
      </c>
      <c r="F1332">
        <v>100</v>
      </c>
      <c r="G1332">
        <v>99.9</v>
      </c>
      <c r="H1332">
        <v>126.6</v>
      </c>
      <c r="I1332">
        <v>129.6</v>
      </c>
      <c r="J1332">
        <v>100</v>
      </c>
      <c r="K1332">
        <v>100</v>
      </c>
      <c r="L1332" s="1" t="s">
        <v>3248</v>
      </c>
      <c r="M1332" t="s">
        <v>288</v>
      </c>
      <c r="N1332">
        <v>4</v>
      </c>
    </row>
    <row r="1333" spans="1:14" x14ac:dyDescent="0.25">
      <c r="A1333" s="3" t="str">
        <f>HYPERLINK("http://www.ncbi.nlm.nih.gov/gene/55780","55780")</f>
        <v>55780</v>
      </c>
      <c r="B1333" s="1" t="s">
        <v>3250</v>
      </c>
      <c r="C1333" t="s">
        <v>3251</v>
      </c>
      <c r="D1333">
        <v>138.19999999999999</v>
      </c>
      <c r="E1333">
        <v>142.6</v>
      </c>
      <c r="F1333">
        <v>99.9</v>
      </c>
      <c r="G1333">
        <v>99</v>
      </c>
      <c r="H1333">
        <v>169.9</v>
      </c>
      <c r="I1333">
        <v>174.8</v>
      </c>
      <c r="J1333">
        <v>100</v>
      </c>
      <c r="K1333">
        <v>100</v>
      </c>
      <c r="L1333" s="1" t="s">
        <v>3250</v>
      </c>
      <c r="M1333" t="s">
        <v>285</v>
      </c>
      <c r="N1333">
        <v>1</v>
      </c>
    </row>
    <row r="1334" spans="1:14" x14ac:dyDescent="0.25">
      <c r="A1334" s="3" t="str">
        <f>HYPERLINK("http://www.ncbi.nlm.nih.gov/gene/157570","157570")</f>
        <v>157570</v>
      </c>
      <c r="B1334" s="1" t="s">
        <v>3252</v>
      </c>
      <c r="C1334" t="s">
        <v>3253</v>
      </c>
      <c r="D1334">
        <v>138.69999999999999</v>
      </c>
      <c r="E1334">
        <v>139.5</v>
      </c>
      <c r="F1334">
        <v>98.7</v>
      </c>
      <c r="G1334">
        <v>95.2</v>
      </c>
      <c r="H1334">
        <v>113.7</v>
      </c>
      <c r="I1334">
        <v>116.7</v>
      </c>
      <c r="J1334">
        <v>100</v>
      </c>
      <c r="K1334">
        <v>100</v>
      </c>
      <c r="L1334" s="1" t="s">
        <v>3252</v>
      </c>
      <c r="M1334" t="s">
        <v>3103</v>
      </c>
      <c r="N1334">
        <v>6</v>
      </c>
    </row>
    <row r="1335" spans="1:14" x14ac:dyDescent="0.25">
      <c r="A1335" s="3" t="str">
        <f>HYPERLINK("http://www.ncbi.nlm.nih.gov/gene/83715","83715")</f>
        <v>83715</v>
      </c>
      <c r="B1335" s="1" t="s">
        <v>3254</v>
      </c>
      <c r="C1335" t="s">
        <v>3255</v>
      </c>
      <c r="D1335">
        <v>26.9</v>
      </c>
      <c r="E1335">
        <v>26.9</v>
      </c>
      <c r="F1335">
        <v>44.6</v>
      </c>
      <c r="G1335">
        <v>35.799999999999997</v>
      </c>
      <c r="H1335">
        <v>118.1</v>
      </c>
      <c r="I1335">
        <v>117.1</v>
      </c>
      <c r="J1335">
        <v>100</v>
      </c>
      <c r="K1335">
        <v>99.8</v>
      </c>
      <c r="L1335" s="1" t="s">
        <v>3254</v>
      </c>
      <c r="M1335" t="s">
        <v>3256</v>
      </c>
      <c r="N1335">
        <v>3</v>
      </c>
    </row>
    <row r="1336" spans="1:14" x14ac:dyDescent="0.25">
      <c r="A1336" s="3" t="str">
        <f>HYPERLINK("http://www.ncbi.nlm.nih.gov/gene/2099","2099")</f>
        <v>2099</v>
      </c>
      <c r="B1336" s="1" t="s">
        <v>3257</v>
      </c>
      <c r="C1336" t="s">
        <v>3258</v>
      </c>
      <c r="D1336">
        <v>135.19999999999999</v>
      </c>
      <c r="E1336">
        <v>136.4</v>
      </c>
      <c r="F1336">
        <v>100</v>
      </c>
      <c r="G1336">
        <v>99.8</v>
      </c>
      <c r="H1336">
        <v>140.69999999999999</v>
      </c>
      <c r="I1336">
        <v>141.5</v>
      </c>
      <c r="J1336">
        <v>100</v>
      </c>
      <c r="K1336">
        <v>100</v>
      </c>
      <c r="L1336" s="1" t="s">
        <v>3257</v>
      </c>
      <c r="M1336" t="s">
        <v>1472</v>
      </c>
      <c r="N1336">
        <v>3</v>
      </c>
    </row>
    <row r="1337" spans="1:14" x14ac:dyDescent="0.25">
      <c r="A1337" s="3" t="str">
        <f>HYPERLINK("http://www.ncbi.nlm.nih.gov/gene/2100","2100")</f>
        <v>2100</v>
      </c>
      <c r="B1337" s="1" t="s">
        <v>3259</v>
      </c>
      <c r="C1337" t="s">
        <v>3260</v>
      </c>
      <c r="D1337">
        <v>117.4</v>
      </c>
      <c r="E1337">
        <v>122.2</v>
      </c>
      <c r="F1337">
        <v>100</v>
      </c>
      <c r="G1337">
        <v>99.7</v>
      </c>
      <c r="H1337">
        <v>155.6</v>
      </c>
      <c r="I1337">
        <v>160.4</v>
      </c>
      <c r="J1337">
        <v>100</v>
      </c>
      <c r="K1337">
        <v>100</v>
      </c>
      <c r="L1337" s="1" t="s">
        <v>3259</v>
      </c>
      <c r="M1337" t="s">
        <v>3261</v>
      </c>
      <c r="N1337">
        <v>3</v>
      </c>
    </row>
    <row r="1338" spans="1:14" x14ac:dyDescent="0.25">
      <c r="A1338" s="3" t="str">
        <f>HYPERLINK("http://www.ncbi.nlm.nih.gov/gene/54845","54845")</f>
        <v>54845</v>
      </c>
      <c r="B1338" s="1" t="s">
        <v>3262</v>
      </c>
      <c r="C1338" t="s">
        <v>3263</v>
      </c>
      <c r="D1338">
        <v>120.7</v>
      </c>
      <c r="E1338">
        <v>122.5</v>
      </c>
      <c r="F1338">
        <v>99.9</v>
      </c>
      <c r="G1338">
        <v>98.9</v>
      </c>
      <c r="H1338">
        <v>132.5</v>
      </c>
      <c r="I1338">
        <v>136.80000000000001</v>
      </c>
      <c r="J1338">
        <v>100</v>
      </c>
      <c r="K1338">
        <v>100</v>
      </c>
      <c r="L1338" s="1" t="s">
        <v>3262</v>
      </c>
      <c r="M1338" t="s">
        <v>269</v>
      </c>
      <c r="N1338">
        <v>3</v>
      </c>
    </row>
    <row r="1339" spans="1:14" x14ac:dyDescent="0.25">
      <c r="A1339" s="3" t="str">
        <f>HYPERLINK("http://www.ncbi.nlm.nih.gov/gene/2103","2103")</f>
        <v>2103</v>
      </c>
      <c r="B1339" s="1" t="s">
        <v>3264</v>
      </c>
      <c r="C1339" t="s">
        <v>3265</v>
      </c>
      <c r="D1339">
        <v>110.8</v>
      </c>
      <c r="E1339">
        <v>112.3</v>
      </c>
      <c r="F1339">
        <v>96.8</v>
      </c>
      <c r="G1339">
        <v>95</v>
      </c>
      <c r="H1339">
        <v>144</v>
      </c>
      <c r="I1339">
        <v>148.30000000000001</v>
      </c>
      <c r="J1339">
        <v>100</v>
      </c>
      <c r="K1339">
        <v>100</v>
      </c>
      <c r="L1339" s="1" t="s">
        <v>3264</v>
      </c>
      <c r="M1339" t="s">
        <v>269</v>
      </c>
      <c r="N1339">
        <v>3</v>
      </c>
    </row>
    <row r="1340" spans="1:14" x14ac:dyDescent="0.25">
      <c r="A1340" s="3" t="str">
        <f>HYPERLINK("http://www.ncbi.nlm.nih.gov/gene/2108","2108")</f>
        <v>2108</v>
      </c>
      <c r="B1340" s="1" t="s">
        <v>3266</v>
      </c>
      <c r="C1340" t="s">
        <v>3267</v>
      </c>
      <c r="D1340">
        <v>157.5</v>
      </c>
      <c r="E1340">
        <v>160.1</v>
      </c>
      <c r="F1340">
        <v>100</v>
      </c>
      <c r="G1340">
        <v>100</v>
      </c>
      <c r="H1340">
        <v>122.5</v>
      </c>
      <c r="I1340">
        <v>124.8</v>
      </c>
      <c r="J1340">
        <v>100</v>
      </c>
      <c r="K1340">
        <v>100</v>
      </c>
      <c r="L1340" s="1" t="s">
        <v>3266</v>
      </c>
      <c r="M1340" t="s">
        <v>116</v>
      </c>
      <c r="N1340">
        <v>3</v>
      </c>
    </row>
    <row r="1341" spans="1:14" x14ac:dyDescent="0.25">
      <c r="A1341" s="3" t="str">
        <f>HYPERLINK("http://www.ncbi.nlm.nih.gov/gene/2109","2109")</f>
        <v>2109</v>
      </c>
      <c r="B1341" s="1" t="s">
        <v>3268</v>
      </c>
      <c r="C1341" t="s">
        <v>3269</v>
      </c>
      <c r="D1341">
        <v>120.4</v>
      </c>
      <c r="E1341">
        <v>122.5</v>
      </c>
      <c r="F1341">
        <v>100</v>
      </c>
      <c r="G1341">
        <v>99.8</v>
      </c>
      <c r="H1341">
        <v>163.4</v>
      </c>
      <c r="I1341">
        <v>169.6</v>
      </c>
      <c r="J1341">
        <v>100</v>
      </c>
      <c r="K1341">
        <v>100</v>
      </c>
      <c r="L1341" s="1" t="s">
        <v>3268</v>
      </c>
      <c r="M1341" t="s">
        <v>38</v>
      </c>
      <c r="N1341">
        <v>4</v>
      </c>
    </row>
    <row r="1342" spans="1:14" x14ac:dyDescent="0.25">
      <c r="A1342" s="3" t="str">
        <f>HYPERLINK("http://www.ncbi.nlm.nih.gov/gene/2110","2110")</f>
        <v>2110</v>
      </c>
      <c r="B1342" s="1" t="s">
        <v>3270</v>
      </c>
      <c r="C1342" t="s">
        <v>3271</v>
      </c>
      <c r="D1342">
        <v>137.6</v>
      </c>
      <c r="E1342">
        <v>141.80000000000001</v>
      </c>
      <c r="F1342">
        <v>100</v>
      </c>
      <c r="G1342">
        <v>99.8</v>
      </c>
      <c r="H1342">
        <v>129</v>
      </c>
      <c r="I1342">
        <v>132.30000000000001</v>
      </c>
      <c r="J1342">
        <v>100</v>
      </c>
      <c r="K1342">
        <v>100</v>
      </c>
      <c r="L1342" s="1" t="s">
        <v>3270</v>
      </c>
      <c r="M1342" t="s">
        <v>3272</v>
      </c>
      <c r="N1342">
        <v>5</v>
      </c>
    </row>
    <row r="1343" spans="1:14" x14ac:dyDescent="0.25">
      <c r="A1343" s="3" t="str">
        <f>HYPERLINK("http://www.ncbi.nlm.nih.gov/gene/23474","23474")</f>
        <v>23474</v>
      </c>
      <c r="B1343" s="1" t="s">
        <v>3273</v>
      </c>
      <c r="C1343" t="s">
        <v>3274</v>
      </c>
      <c r="D1343">
        <v>93</v>
      </c>
      <c r="E1343">
        <v>96.2</v>
      </c>
      <c r="F1343">
        <v>99.9</v>
      </c>
      <c r="G1343">
        <v>97.4</v>
      </c>
      <c r="H1343">
        <v>139.1</v>
      </c>
      <c r="I1343">
        <v>143.6</v>
      </c>
      <c r="J1343">
        <v>100</v>
      </c>
      <c r="K1343">
        <v>100</v>
      </c>
      <c r="L1343" s="1" t="s">
        <v>3273</v>
      </c>
      <c r="M1343" t="s">
        <v>2185</v>
      </c>
      <c r="N1343">
        <v>7</v>
      </c>
    </row>
    <row r="1344" spans="1:14" x14ac:dyDescent="0.25">
      <c r="A1344" s="3" t="str">
        <f>HYPERLINK("http://www.ncbi.nlm.nih.gov/gene/2120","2120")</f>
        <v>2120</v>
      </c>
      <c r="B1344" s="1" t="s">
        <v>3275</v>
      </c>
      <c r="C1344" t="s">
        <v>3276</v>
      </c>
      <c r="D1344">
        <v>171.7</v>
      </c>
      <c r="E1344">
        <v>185.3</v>
      </c>
      <c r="F1344">
        <v>100</v>
      </c>
      <c r="G1344">
        <v>99.9</v>
      </c>
      <c r="H1344">
        <v>151.1</v>
      </c>
      <c r="I1344">
        <v>155</v>
      </c>
      <c r="J1344">
        <v>100</v>
      </c>
      <c r="K1344">
        <v>100</v>
      </c>
      <c r="L1344" s="1" t="s">
        <v>3275</v>
      </c>
      <c r="M1344" t="s">
        <v>586</v>
      </c>
      <c r="N1344">
        <v>4</v>
      </c>
    </row>
    <row r="1345" spans="1:14" x14ac:dyDescent="0.25">
      <c r="A1345" s="3" t="str">
        <f>HYPERLINK("http://www.ncbi.nlm.nih.gov/gene/2121","2121")</f>
        <v>2121</v>
      </c>
      <c r="B1345" s="1" t="s">
        <v>3277</v>
      </c>
      <c r="C1345" t="s">
        <v>3278</v>
      </c>
      <c r="D1345">
        <v>116.1</v>
      </c>
      <c r="E1345">
        <v>121.9</v>
      </c>
      <c r="F1345">
        <v>93.9</v>
      </c>
      <c r="G1345">
        <v>88.6</v>
      </c>
      <c r="H1345">
        <v>124.1</v>
      </c>
      <c r="I1345">
        <v>128</v>
      </c>
      <c r="J1345">
        <v>96.9</v>
      </c>
      <c r="K1345">
        <v>94.8</v>
      </c>
      <c r="L1345" s="1" t="s">
        <v>3277</v>
      </c>
      <c r="M1345" t="s">
        <v>3279</v>
      </c>
      <c r="N1345">
        <v>5</v>
      </c>
    </row>
    <row r="1346" spans="1:14" x14ac:dyDescent="0.25">
      <c r="A1346" s="3" t="str">
        <f>HYPERLINK("http://www.ncbi.nlm.nih.gov/gene/132884","132884")</f>
        <v>132884</v>
      </c>
      <c r="B1346" s="1" t="s">
        <v>3280</v>
      </c>
      <c r="C1346" t="s">
        <v>3281</v>
      </c>
      <c r="D1346">
        <v>129.30000000000001</v>
      </c>
      <c r="E1346">
        <v>135.9</v>
      </c>
      <c r="F1346">
        <v>97.7</v>
      </c>
      <c r="G1346">
        <v>96.1</v>
      </c>
      <c r="H1346">
        <v>137.9</v>
      </c>
      <c r="I1346">
        <v>141.19999999999999</v>
      </c>
      <c r="J1346">
        <v>100</v>
      </c>
      <c r="K1346">
        <v>100</v>
      </c>
      <c r="L1346" s="1" t="s">
        <v>3280</v>
      </c>
      <c r="M1346" t="s">
        <v>3282</v>
      </c>
      <c r="N1346">
        <v>5</v>
      </c>
    </row>
    <row r="1347" spans="1:14" x14ac:dyDescent="0.25">
      <c r="A1347" s="3" t="str">
        <f>HYPERLINK("http://www.ncbi.nlm.nih.gov/gene/2130","2130")</f>
        <v>2130</v>
      </c>
      <c r="B1347" s="1" t="s">
        <v>3283</v>
      </c>
      <c r="C1347" t="s">
        <v>3284</v>
      </c>
      <c r="D1347">
        <v>80.5</v>
      </c>
      <c r="E1347">
        <v>79</v>
      </c>
      <c r="F1347">
        <v>92.3</v>
      </c>
      <c r="G1347">
        <v>85.3</v>
      </c>
      <c r="H1347">
        <v>138.19999999999999</v>
      </c>
      <c r="I1347">
        <v>142.6</v>
      </c>
      <c r="J1347">
        <v>100</v>
      </c>
      <c r="K1347">
        <v>100</v>
      </c>
      <c r="L1347" s="1" t="s">
        <v>3283</v>
      </c>
      <c r="M1347" t="s">
        <v>22</v>
      </c>
      <c r="N1347">
        <v>1</v>
      </c>
    </row>
    <row r="1348" spans="1:14" x14ac:dyDescent="0.25">
      <c r="A1348" s="3" t="str">
        <f>HYPERLINK("http://www.ncbi.nlm.nih.gov/gene/54536","54536")</f>
        <v>54536</v>
      </c>
      <c r="B1348" s="1" t="s">
        <v>3285</v>
      </c>
      <c r="C1348" t="s">
        <v>3286</v>
      </c>
      <c r="D1348">
        <v>117.8</v>
      </c>
      <c r="E1348">
        <v>122.7</v>
      </c>
      <c r="F1348">
        <v>99.2</v>
      </c>
      <c r="G1348">
        <v>96.3</v>
      </c>
      <c r="H1348">
        <v>117.9</v>
      </c>
      <c r="I1348">
        <v>120.8</v>
      </c>
      <c r="J1348">
        <v>100</v>
      </c>
      <c r="K1348">
        <v>100</v>
      </c>
      <c r="L1348" s="1" t="s">
        <v>3285</v>
      </c>
      <c r="M1348" t="s">
        <v>62</v>
      </c>
      <c r="N1348">
        <v>2</v>
      </c>
    </row>
    <row r="1349" spans="1:14" x14ac:dyDescent="0.25">
      <c r="A1349" s="3" t="str">
        <f>HYPERLINK("http://www.ncbi.nlm.nih.gov/gene/23233","23233")</f>
        <v>23233</v>
      </c>
      <c r="B1349" s="1" t="s">
        <v>3287</v>
      </c>
      <c r="C1349" t="s">
        <v>3288</v>
      </c>
      <c r="D1349">
        <v>127.3</v>
      </c>
      <c r="E1349">
        <v>132</v>
      </c>
      <c r="F1349">
        <v>99.1</v>
      </c>
      <c r="G1349">
        <v>97.6</v>
      </c>
      <c r="H1349">
        <v>133.80000000000001</v>
      </c>
      <c r="I1349">
        <v>137.19999999999999</v>
      </c>
      <c r="J1349">
        <v>100</v>
      </c>
      <c r="K1349">
        <v>100</v>
      </c>
      <c r="L1349" s="1" t="s">
        <v>3287</v>
      </c>
      <c r="M1349" t="s">
        <v>1168</v>
      </c>
      <c r="N1349">
        <v>3</v>
      </c>
    </row>
    <row r="1350" spans="1:14" x14ac:dyDescent="0.25">
      <c r="A1350" s="3" t="str">
        <f>HYPERLINK("http://www.ncbi.nlm.nih.gov/gene/149371","149371")</f>
        <v>149371</v>
      </c>
      <c r="B1350" s="1" t="s">
        <v>3289</v>
      </c>
      <c r="C1350" t="s">
        <v>3290</v>
      </c>
      <c r="D1350">
        <v>189.2</v>
      </c>
      <c r="E1350">
        <v>168.4</v>
      </c>
      <c r="F1350">
        <v>100</v>
      </c>
      <c r="G1350">
        <v>100</v>
      </c>
      <c r="H1350">
        <v>170.5</v>
      </c>
      <c r="I1350">
        <v>170.6</v>
      </c>
      <c r="J1350">
        <v>100</v>
      </c>
      <c r="K1350">
        <v>100</v>
      </c>
      <c r="L1350" s="1" t="s">
        <v>3289</v>
      </c>
      <c r="M1350" t="s">
        <v>1495</v>
      </c>
      <c r="N1350">
        <v>2</v>
      </c>
    </row>
    <row r="1351" spans="1:14" x14ac:dyDescent="0.25">
      <c r="A1351" s="3" t="str">
        <f>HYPERLINK("http://www.ncbi.nlm.nih.gov/gene/23404","23404")</f>
        <v>23404</v>
      </c>
      <c r="B1351" s="1" t="s">
        <v>3291</v>
      </c>
      <c r="C1351" t="s">
        <v>3292</v>
      </c>
      <c r="D1351">
        <v>114.8</v>
      </c>
      <c r="E1351">
        <v>117.6</v>
      </c>
      <c r="F1351">
        <v>100</v>
      </c>
      <c r="G1351">
        <v>100</v>
      </c>
      <c r="H1351">
        <v>118.2</v>
      </c>
      <c r="I1351">
        <v>121.1</v>
      </c>
      <c r="J1351">
        <v>100</v>
      </c>
      <c r="K1351">
        <v>100</v>
      </c>
      <c r="L1351" s="1" t="s">
        <v>3291</v>
      </c>
      <c r="M1351" t="s">
        <v>3293</v>
      </c>
      <c r="N1351">
        <v>5</v>
      </c>
    </row>
    <row r="1352" spans="1:14" x14ac:dyDescent="0.25">
      <c r="A1352" s="3" t="str">
        <f>HYPERLINK("http://www.ncbi.nlm.nih.gov/gene/51010","51010")</f>
        <v>51010</v>
      </c>
      <c r="B1352" s="1" t="s">
        <v>3294</v>
      </c>
      <c r="C1352" t="s">
        <v>3295</v>
      </c>
      <c r="D1352">
        <v>124.2</v>
      </c>
      <c r="E1352">
        <v>125.9</v>
      </c>
      <c r="F1352">
        <v>99.5</v>
      </c>
      <c r="G1352">
        <v>94.9</v>
      </c>
      <c r="H1352">
        <v>144.4</v>
      </c>
      <c r="I1352">
        <v>148.30000000000001</v>
      </c>
      <c r="J1352">
        <v>100</v>
      </c>
      <c r="K1352">
        <v>100</v>
      </c>
      <c r="L1352" s="1" t="s">
        <v>3294</v>
      </c>
      <c r="M1352" t="s">
        <v>548</v>
      </c>
      <c r="N1352">
        <v>5</v>
      </c>
    </row>
    <row r="1353" spans="1:14" x14ac:dyDescent="0.25">
      <c r="A1353" s="3" t="str">
        <f>HYPERLINK("http://www.ncbi.nlm.nih.gov/gene/56915","56915")</f>
        <v>56915</v>
      </c>
      <c r="B1353" s="1" t="s">
        <v>3296</v>
      </c>
      <c r="C1353" t="s">
        <v>3297</v>
      </c>
      <c r="D1353">
        <v>155.6</v>
      </c>
      <c r="E1353">
        <v>161.4</v>
      </c>
      <c r="F1353">
        <v>100</v>
      </c>
      <c r="G1353">
        <v>100</v>
      </c>
      <c r="H1353">
        <v>132.1</v>
      </c>
      <c r="I1353">
        <v>135.9</v>
      </c>
      <c r="J1353">
        <v>100</v>
      </c>
      <c r="K1353">
        <v>100</v>
      </c>
      <c r="L1353" s="1" t="s">
        <v>3296</v>
      </c>
      <c r="M1353" t="s">
        <v>3298</v>
      </c>
      <c r="N1353">
        <v>3</v>
      </c>
    </row>
    <row r="1354" spans="1:14" x14ac:dyDescent="0.25">
      <c r="A1354" s="3" t="str">
        <f>HYPERLINK("http://www.ncbi.nlm.nih.gov/gene/11340","11340")</f>
        <v>11340</v>
      </c>
      <c r="B1354" s="1" t="s">
        <v>3299</v>
      </c>
      <c r="C1354" t="s">
        <v>3300</v>
      </c>
      <c r="D1354">
        <v>89.5</v>
      </c>
      <c r="E1354">
        <v>91</v>
      </c>
      <c r="F1354">
        <v>97.9</v>
      </c>
      <c r="G1354">
        <v>91.2</v>
      </c>
      <c r="H1354">
        <v>115.8</v>
      </c>
      <c r="I1354">
        <v>118.2</v>
      </c>
      <c r="J1354">
        <v>100</v>
      </c>
      <c r="K1354">
        <v>100</v>
      </c>
      <c r="L1354" s="1" t="s">
        <v>3299</v>
      </c>
      <c r="M1354" t="s">
        <v>3301</v>
      </c>
      <c r="N1354">
        <v>5</v>
      </c>
    </row>
    <row r="1355" spans="1:14" x14ac:dyDescent="0.25">
      <c r="A1355" s="3" t="str">
        <f>HYPERLINK("http://www.ncbi.nlm.nih.gov/gene/5393","5393")</f>
        <v>5393</v>
      </c>
      <c r="B1355" s="1" t="s">
        <v>3302</v>
      </c>
      <c r="C1355" t="s">
        <v>3303</v>
      </c>
      <c r="D1355">
        <v>168.2</v>
      </c>
      <c r="E1355">
        <v>173.4</v>
      </c>
      <c r="F1355">
        <v>99.7</v>
      </c>
      <c r="G1355">
        <v>97.2</v>
      </c>
      <c r="H1355">
        <v>128.30000000000001</v>
      </c>
      <c r="I1355">
        <v>131.5</v>
      </c>
      <c r="J1355">
        <v>100</v>
      </c>
      <c r="K1355">
        <v>100</v>
      </c>
      <c r="L1355" s="1" t="s">
        <v>3302</v>
      </c>
      <c r="M1355" t="s">
        <v>360</v>
      </c>
      <c r="N1355">
        <v>5</v>
      </c>
    </row>
    <row r="1356" spans="1:14" x14ac:dyDescent="0.25">
      <c r="A1356" s="3" t="str">
        <f>HYPERLINK("http://www.ncbi.nlm.nih.gov/gene/23086","23086")</f>
        <v>23086</v>
      </c>
      <c r="B1356" s="1" t="s">
        <v>3304</v>
      </c>
      <c r="C1356" t="s">
        <v>3305</v>
      </c>
      <c r="D1356">
        <v>190.3</v>
      </c>
      <c r="E1356">
        <v>189.5</v>
      </c>
      <c r="F1356">
        <v>100</v>
      </c>
      <c r="G1356">
        <v>100</v>
      </c>
      <c r="H1356">
        <v>152.30000000000001</v>
      </c>
      <c r="I1356">
        <v>152.6</v>
      </c>
      <c r="J1356">
        <v>100</v>
      </c>
      <c r="K1356">
        <v>100</v>
      </c>
      <c r="L1356" s="1" t="s">
        <v>3304</v>
      </c>
      <c r="M1356" t="s">
        <v>246</v>
      </c>
      <c r="N1356">
        <v>3</v>
      </c>
    </row>
    <row r="1357" spans="1:14" x14ac:dyDescent="0.25">
      <c r="A1357" s="3" t="str">
        <f>HYPERLINK("http://www.ncbi.nlm.nih.gov/gene/2131","2131")</f>
        <v>2131</v>
      </c>
      <c r="B1357" s="1" t="s">
        <v>3306</v>
      </c>
      <c r="C1357" t="s">
        <v>3307</v>
      </c>
      <c r="D1357">
        <v>112.1</v>
      </c>
      <c r="E1357">
        <v>114.3</v>
      </c>
      <c r="F1357">
        <v>99.9</v>
      </c>
      <c r="G1357">
        <v>98.4</v>
      </c>
      <c r="H1357">
        <v>134.30000000000001</v>
      </c>
      <c r="I1357">
        <v>136.4</v>
      </c>
      <c r="J1357">
        <v>100</v>
      </c>
      <c r="K1357">
        <v>100</v>
      </c>
      <c r="L1357" s="1" t="s">
        <v>3306</v>
      </c>
      <c r="M1357" t="s">
        <v>3308</v>
      </c>
      <c r="N1357">
        <v>4</v>
      </c>
    </row>
    <row r="1358" spans="1:14" x14ac:dyDescent="0.25">
      <c r="A1358" s="3" t="str">
        <f>HYPERLINK("http://www.ncbi.nlm.nih.gov/gene/2132","2132")</f>
        <v>2132</v>
      </c>
      <c r="B1358" s="1" t="s">
        <v>3309</v>
      </c>
      <c r="C1358" t="s">
        <v>3310</v>
      </c>
      <c r="D1358">
        <v>143.19999999999999</v>
      </c>
      <c r="E1358">
        <v>145</v>
      </c>
      <c r="F1358">
        <v>100</v>
      </c>
      <c r="G1358">
        <v>99.3</v>
      </c>
      <c r="H1358">
        <v>140.9</v>
      </c>
      <c r="I1358">
        <v>143.4</v>
      </c>
      <c r="J1358">
        <v>100</v>
      </c>
      <c r="K1358">
        <v>100</v>
      </c>
      <c r="L1358" s="1" t="s">
        <v>3309</v>
      </c>
      <c r="M1358" t="s">
        <v>3311</v>
      </c>
      <c r="N1358">
        <v>5</v>
      </c>
    </row>
    <row r="1359" spans="1:14" x14ac:dyDescent="0.25">
      <c r="A1359" s="3" t="str">
        <f>HYPERLINK("http://www.ncbi.nlm.nih.gov/gene/2137","2137")</f>
        <v>2137</v>
      </c>
      <c r="B1359" s="1" t="s">
        <v>3312</v>
      </c>
      <c r="C1359" t="s">
        <v>3313</v>
      </c>
      <c r="D1359">
        <v>202.8</v>
      </c>
      <c r="E1359">
        <v>199.3</v>
      </c>
      <c r="F1359">
        <v>100</v>
      </c>
      <c r="G1359">
        <v>100</v>
      </c>
      <c r="H1359">
        <v>160.4</v>
      </c>
      <c r="I1359">
        <v>160.80000000000001</v>
      </c>
      <c r="J1359">
        <v>100</v>
      </c>
      <c r="K1359">
        <v>100</v>
      </c>
      <c r="L1359" s="1" t="s">
        <v>3312</v>
      </c>
      <c r="M1359" t="s">
        <v>3314</v>
      </c>
      <c r="N1359">
        <v>6</v>
      </c>
    </row>
    <row r="1360" spans="1:14" x14ac:dyDescent="0.25">
      <c r="A1360" s="3" t="str">
        <f>HYPERLINK("http://www.ncbi.nlm.nih.gov/gene/2138","2138")</f>
        <v>2138</v>
      </c>
      <c r="B1360" s="1" t="s">
        <v>3315</v>
      </c>
      <c r="C1360" t="s">
        <v>3316</v>
      </c>
      <c r="D1360">
        <v>144.69999999999999</v>
      </c>
      <c r="E1360">
        <v>145.69999999999999</v>
      </c>
      <c r="F1360">
        <v>99.9</v>
      </c>
      <c r="G1360">
        <v>99.7</v>
      </c>
      <c r="H1360">
        <v>142</v>
      </c>
      <c r="I1360">
        <v>145.6</v>
      </c>
      <c r="J1360">
        <v>100</v>
      </c>
      <c r="K1360">
        <v>100</v>
      </c>
      <c r="L1360" s="1" t="s">
        <v>3315</v>
      </c>
      <c r="M1360" t="s">
        <v>3317</v>
      </c>
      <c r="N1360">
        <v>7</v>
      </c>
    </row>
    <row r="1361" spans="1:14" x14ac:dyDescent="0.25">
      <c r="A1361" s="3" t="str">
        <f>HYPERLINK("http://www.ncbi.nlm.nih.gov/gene/2070","2070")</f>
        <v>2070</v>
      </c>
      <c r="B1361" s="1" t="s">
        <v>3318</v>
      </c>
      <c r="C1361" t="s">
        <v>3319</v>
      </c>
      <c r="D1361">
        <v>152.4</v>
      </c>
      <c r="E1361">
        <v>155.30000000000001</v>
      </c>
      <c r="F1361">
        <v>100</v>
      </c>
      <c r="G1361">
        <v>99.7</v>
      </c>
      <c r="H1361">
        <v>138.80000000000001</v>
      </c>
      <c r="I1361">
        <v>142.69999999999999</v>
      </c>
      <c r="J1361">
        <v>100</v>
      </c>
      <c r="K1361">
        <v>100</v>
      </c>
      <c r="L1361" s="1" t="s">
        <v>3318</v>
      </c>
      <c r="M1361" t="s">
        <v>76</v>
      </c>
      <c r="N1361">
        <v>2</v>
      </c>
    </row>
    <row r="1362" spans="1:14" x14ac:dyDescent="0.25">
      <c r="A1362" s="3" t="str">
        <f>HYPERLINK("http://www.ncbi.nlm.nih.gov/gene/346007","346007")</f>
        <v>346007</v>
      </c>
      <c r="B1362" s="1" t="s">
        <v>3320</v>
      </c>
      <c r="C1362" t="s">
        <v>3321</v>
      </c>
      <c r="D1362">
        <v>159</v>
      </c>
      <c r="E1362">
        <v>159</v>
      </c>
      <c r="F1362">
        <v>99.7</v>
      </c>
      <c r="G1362">
        <v>98.2</v>
      </c>
      <c r="H1362">
        <v>136.4</v>
      </c>
      <c r="I1362">
        <v>138.80000000000001</v>
      </c>
      <c r="J1362">
        <v>100</v>
      </c>
      <c r="K1362">
        <v>100</v>
      </c>
      <c r="L1362" s="1" t="s">
        <v>3320</v>
      </c>
      <c r="M1362" t="s">
        <v>56</v>
      </c>
      <c r="N1362">
        <v>3</v>
      </c>
    </row>
    <row r="1363" spans="1:14" x14ac:dyDescent="0.25">
      <c r="A1363" s="3" t="str">
        <f>HYPERLINK("http://www.ncbi.nlm.nih.gov/gene/2146","2146")</f>
        <v>2146</v>
      </c>
      <c r="B1363" s="1" t="s">
        <v>3322</v>
      </c>
      <c r="C1363" t="s">
        <v>3323</v>
      </c>
      <c r="D1363">
        <v>163.69999999999999</v>
      </c>
      <c r="E1363">
        <v>171.4</v>
      </c>
      <c r="F1363">
        <v>100</v>
      </c>
      <c r="G1363">
        <v>99.5</v>
      </c>
      <c r="H1363">
        <v>132.9</v>
      </c>
      <c r="I1363">
        <v>136.5</v>
      </c>
      <c r="J1363">
        <v>100</v>
      </c>
      <c r="K1363">
        <v>100</v>
      </c>
      <c r="L1363" s="1" t="s">
        <v>3322</v>
      </c>
      <c r="M1363" t="s">
        <v>3324</v>
      </c>
      <c r="N1363">
        <v>6</v>
      </c>
    </row>
    <row r="1364" spans="1:14" x14ac:dyDescent="0.25">
      <c r="A1364" s="3" t="str">
        <f>HYPERLINK("http://www.ncbi.nlm.nih.gov/gene/2159","2159")</f>
        <v>2159</v>
      </c>
      <c r="B1364" s="1" t="s">
        <v>3325</v>
      </c>
      <c r="C1364" t="s">
        <v>3326</v>
      </c>
      <c r="D1364">
        <v>193.4</v>
      </c>
      <c r="E1364">
        <v>194.4</v>
      </c>
      <c r="F1364">
        <v>99.8</v>
      </c>
      <c r="G1364">
        <v>99.1</v>
      </c>
      <c r="H1364">
        <v>142.80000000000001</v>
      </c>
      <c r="I1364">
        <v>146.1</v>
      </c>
      <c r="J1364">
        <v>100</v>
      </c>
      <c r="K1364">
        <v>100</v>
      </c>
      <c r="L1364" s="1" t="s">
        <v>3325</v>
      </c>
      <c r="M1364" t="s">
        <v>606</v>
      </c>
      <c r="N1364">
        <v>3</v>
      </c>
    </row>
    <row r="1365" spans="1:14" x14ac:dyDescent="0.25">
      <c r="A1365" s="3" t="str">
        <f>HYPERLINK("http://www.ncbi.nlm.nih.gov/gene/2160","2160")</f>
        <v>2160</v>
      </c>
      <c r="B1365" s="1" t="s">
        <v>3327</v>
      </c>
      <c r="C1365" t="s">
        <v>3328</v>
      </c>
      <c r="D1365">
        <v>151.30000000000001</v>
      </c>
      <c r="E1365">
        <v>157.69999999999999</v>
      </c>
      <c r="F1365">
        <v>100</v>
      </c>
      <c r="G1365">
        <v>100</v>
      </c>
      <c r="H1365">
        <v>147.1</v>
      </c>
      <c r="I1365">
        <v>152.4</v>
      </c>
      <c r="J1365">
        <v>100</v>
      </c>
      <c r="K1365">
        <v>100</v>
      </c>
      <c r="L1365" s="1" t="s">
        <v>3327</v>
      </c>
      <c r="M1365" t="s">
        <v>3329</v>
      </c>
      <c r="N1365">
        <v>3</v>
      </c>
    </row>
    <row r="1366" spans="1:14" x14ac:dyDescent="0.25">
      <c r="A1366" s="3" t="str">
        <f>HYPERLINK("http://www.ncbi.nlm.nih.gov/gene/2161","2161")</f>
        <v>2161</v>
      </c>
      <c r="B1366" s="1" t="s">
        <v>3330</v>
      </c>
      <c r="C1366" t="s">
        <v>3331</v>
      </c>
      <c r="D1366">
        <v>124.8</v>
      </c>
      <c r="E1366">
        <v>127.6</v>
      </c>
      <c r="F1366">
        <v>99.9</v>
      </c>
      <c r="G1366">
        <v>98.8</v>
      </c>
      <c r="H1366">
        <v>149.19999999999999</v>
      </c>
      <c r="I1366">
        <v>152.5</v>
      </c>
      <c r="J1366">
        <v>100</v>
      </c>
      <c r="K1366">
        <v>100</v>
      </c>
      <c r="L1366" s="1" t="s">
        <v>3330</v>
      </c>
      <c r="M1366" t="s">
        <v>3332</v>
      </c>
      <c r="N1366">
        <v>4</v>
      </c>
    </row>
    <row r="1367" spans="1:14" x14ac:dyDescent="0.25">
      <c r="A1367" s="3" t="str">
        <f>HYPERLINK("http://www.ncbi.nlm.nih.gov/gene/2162","2162")</f>
        <v>2162</v>
      </c>
      <c r="B1367" s="1" t="s">
        <v>3333</v>
      </c>
      <c r="C1367" t="s">
        <v>3334</v>
      </c>
      <c r="D1367">
        <v>138.80000000000001</v>
      </c>
      <c r="E1367">
        <v>144.6</v>
      </c>
      <c r="F1367">
        <v>100</v>
      </c>
      <c r="G1367">
        <v>100</v>
      </c>
      <c r="H1367">
        <v>153.80000000000001</v>
      </c>
      <c r="I1367">
        <v>159.19999999999999</v>
      </c>
      <c r="J1367">
        <v>100</v>
      </c>
      <c r="K1367">
        <v>100</v>
      </c>
      <c r="L1367" s="1" t="s">
        <v>3333</v>
      </c>
      <c r="M1367" t="s">
        <v>3335</v>
      </c>
      <c r="N1367">
        <v>4</v>
      </c>
    </row>
    <row r="1368" spans="1:14" x14ac:dyDescent="0.25">
      <c r="A1368" s="3" t="str">
        <f>HYPERLINK("http://www.ncbi.nlm.nih.gov/gene/2165","2165")</f>
        <v>2165</v>
      </c>
      <c r="B1368" s="1" t="s">
        <v>3336</v>
      </c>
      <c r="C1368" t="s">
        <v>3337</v>
      </c>
      <c r="D1368">
        <v>125.7</v>
      </c>
      <c r="E1368">
        <v>131</v>
      </c>
      <c r="F1368">
        <v>98.7</v>
      </c>
      <c r="G1368">
        <v>93.5</v>
      </c>
      <c r="H1368">
        <v>137</v>
      </c>
      <c r="I1368">
        <v>142.6</v>
      </c>
      <c r="J1368">
        <v>100</v>
      </c>
      <c r="K1368">
        <v>100</v>
      </c>
      <c r="L1368" s="1" t="s">
        <v>3336</v>
      </c>
      <c r="M1368" t="s">
        <v>606</v>
      </c>
      <c r="N1368">
        <v>3</v>
      </c>
    </row>
    <row r="1369" spans="1:14" x14ac:dyDescent="0.25">
      <c r="A1369" s="3" t="str">
        <f>HYPERLINK("http://www.ncbi.nlm.nih.gov/gene/2147","2147")</f>
        <v>2147</v>
      </c>
      <c r="B1369" s="1" t="s">
        <v>3338</v>
      </c>
      <c r="C1369" t="s">
        <v>3339</v>
      </c>
      <c r="D1369">
        <v>130.6</v>
      </c>
      <c r="E1369">
        <v>133.6</v>
      </c>
      <c r="F1369">
        <v>99.9</v>
      </c>
      <c r="G1369">
        <v>97.9</v>
      </c>
      <c r="H1369">
        <v>127.9</v>
      </c>
      <c r="I1369">
        <v>131.5</v>
      </c>
      <c r="J1369">
        <v>100</v>
      </c>
      <c r="K1369">
        <v>100</v>
      </c>
      <c r="L1369" s="1" t="s">
        <v>3338</v>
      </c>
      <c r="M1369" t="s">
        <v>3340</v>
      </c>
      <c r="N1369">
        <v>3</v>
      </c>
    </row>
    <row r="1370" spans="1:14" x14ac:dyDescent="0.25">
      <c r="A1370" s="3" t="str">
        <f>HYPERLINK("http://www.ncbi.nlm.nih.gov/gene/9002","9002")</f>
        <v>9002</v>
      </c>
      <c r="B1370" s="1" t="s">
        <v>3341</v>
      </c>
      <c r="C1370" t="s">
        <v>3342</v>
      </c>
      <c r="D1370">
        <v>96.6</v>
      </c>
      <c r="E1370">
        <v>89.5</v>
      </c>
      <c r="F1370">
        <v>100</v>
      </c>
      <c r="G1370">
        <v>100</v>
      </c>
      <c r="H1370">
        <v>154.69999999999999</v>
      </c>
      <c r="I1370">
        <v>152.1</v>
      </c>
      <c r="J1370">
        <v>100</v>
      </c>
      <c r="K1370">
        <v>100</v>
      </c>
      <c r="L1370" s="1" t="s">
        <v>3341</v>
      </c>
      <c r="M1370" t="s">
        <v>16</v>
      </c>
      <c r="N1370">
        <v>2</v>
      </c>
    </row>
    <row r="1371" spans="1:14" x14ac:dyDescent="0.25">
      <c r="A1371" s="3" t="str">
        <f>HYPERLINK("http://www.ncbi.nlm.nih.gov/gene/2153","2153")</f>
        <v>2153</v>
      </c>
      <c r="B1371" s="1" t="s">
        <v>3343</v>
      </c>
      <c r="C1371" t="s">
        <v>3344</v>
      </c>
      <c r="D1371">
        <v>171.4</v>
      </c>
      <c r="E1371">
        <v>172.8</v>
      </c>
      <c r="F1371">
        <v>99.4</v>
      </c>
      <c r="G1371">
        <v>98.5</v>
      </c>
      <c r="H1371">
        <v>156.9</v>
      </c>
      <c r="I1371">
        <v>152.80000000000001</v>
      </c>
      <c r="J1371">
        <v>100</v>
      </c>
      <c r="K1371">
        <v>100</v>
      </c>
      <c r="L1371" s="1" t="s">
        <v>3343</v>
      </c>
      <c r="M1371" t="s">
        <v>3345</v>
      </c>
      <c r="N1371">
        <v>3</v>
      </c>
    </row>
    <row r="1372" spans="1:14" x14ac:dyDescent="0.25">
      <c r="A1372" s="3" t="str">
        <f>HYPERLINK("http://www.ncbi.nlm.nih.gov/gene/2155","2155")</f>
        <v>2155</v>
      </c>
      <c r="B1372" s="1" t="s">
        <v>3346</v>
      </c>
      <c r="C1372" t="s">
        <v>3347</v>
      </c>
      <c r="D1372">
        <v>165.1</v>
      </c>
      <c r="E1372">
        <v>168.7</v>
      </c>
      <c r="F1372">
        <v>100</v>
      </c>
      <c r="G1372">
        <v>100</v>
      </c>
      <c r="H1372">
        <v>159</v>
      </c>
      <c r="I1372">
        <v>157</v>
      </c>
      <c r="J1372">
        <v>100</v>
      </c>
      <c r="K1372">
        <v>100</v>
      </c>
      <c r="L1372" s="1" t="s">
        <v>3346</v>
      </c>
      <c r="M1372" t="s">
        <v>606</v>
      </c>
      <c r="N1372">
        <v>3</v>
      </c>
    </row>
    <row r="1373" spans="1:14" x14ac:dyDescent="0.25">
      <c r="A1373" s="3" t="str">
        <f>HYPERLINK("http://www.ncbi.nlm.nih.gov/gene/2157","2157")</f>
        <v>2157</v>
      </c>
      <c r="B1373" s="1" t="s">
        <v>3348</v>
      </c>
      <c r="C1373" t="s">
        <v>3349</v>
      </c>
      <c r="D1373">
        <v>123.2</v>
      </c>
      <c r="E1373">
        <v>123.3</v>
      </c>
      <c r="F1373">
        <v>97.3</v>
      </c>
      <c r="G1373">
        <v>96.1</v>
      </c>
      <c r="H1373">
        <v>132.4</v>
      </c>
      <c r="I1373">
        <v>134.69999999999999</v>
      </c>
      <c r="J1373">
        <v>100</v>
      </c>
      <c r="K1373">
        <v>99.9</v>
      </c>
      <c r="L1373" s="1" t="s">
        <v>3348</v>
      </c>
      <c r="M1373" t="s">
        <v>3350</v>
      </c>
      <c r="N1373">
        <v>2</v>
      </c>
    </row>
    <row r="1374" spans="1:14" x14ac:dyDescent="0.25">
      <c r="A1374" s="3" t="str">
        <f>HYPERLINK("http://www.ncbi.nlm.nih.gov/gene/2158","2158")</f>
        <v>2158</v>
      </c>
      <c r="B1374" s="1" t="s">
        <v>3351</v>
      </c>
      <c r="C1374" t="s">
        <v>3352</v>
      </c>
      <c r="D1374">
        <v>141.30000000000001</v>
      </c>
      <c r="E1374">
        <v>130.9</v>
      </c>
      <c r="F1374">
        <v>99.6</v>
      </c>
      <c r="G1374">
        <v>97.6</v>
      </c>
      <c r="H1374">
        <v>120.5</v>
      </c>
      <c r="I1374">
        <v>123.2</v>
      </c>
      <c r="J1374">
        <v>99.9</v>
      </c>
      <c r="K1374">
        <v>98.8</v>
      </c>
      <c r="L1374" s="1" t="s">
        <v>3351</v>
      </c>
      <c r="M1374" t="s">
        <v>3350</v>
      </c>
      <c r="N1374">
        <v>2</v>
      </c>
    </row>
    <row r="1375" spans="1:14" x14ac:dyDescent="0.25">
      <c r="A1375" s="3" t="str">
        <f>HYPERLINK("http://www.ncbi.nlm.nih.gov/gene/79152","79152")</f>
        <v>79152</v>
      </c>
      <c r="B1375" s="1" t="s">
        <v>3353</v>
      </c>
      <c r="C1375" t="s">
        <v>3354</v>
      </c>
      <c r="D1375">
        <v>93.5</v>
      </c>
      <c r="E1375">
        <v>96.4</v>
      </c>
      <c r="F1375">
        <v>92</v>
      </c>
      <c r="G1375">
        <v>83.1</v>
      </c>
      <c r="H1375">
        <v>132.19999999999999</v>
      </c>
      <c r="I1375">
        <v>136.9</v>
      </c>
      <c r="J1375">
        <v>100</v>
      </c>
      <c r="K1375">
        <v>100</v>
      </c>
      <c r="L1375" s="1" t="s">
        <v>3353</v>
      </c>
      <c r="M1375" t="s">
        <v>3355</v>
      </c>
      <c r="N1375">
        <v>8</v>
      </c>
    </row>
    <row r="1376" spans="1:14" x14ac:dyDescent="0.25">
      <c r="A1376" s="3" t="str">
        <f>HYPERLINK("http://www.ncbi.nlm.nih.gov/gene/2166","2166")</f>
        <v>2166</v>
      </c>
      <c r="B1376" s="1" t="s">
        <v>3356</v>
      </c>
      <c r="C1376" t="s">
        <v>3357</v>
      </c>
      <c r="D1376">
        <v>131.1</v>
      </c>
      <c r="E1376">
        <v>135.6</v>
      </c>
      <c r="F1376">
        <v>93.2</v>
      </c>
      <c r="G1376">
        <v>90</v>
      </c>
      <c r="H1376">
        <v>121.7</v>
      </c>
      <c r="I1376">
        <v>124.6</v>
      </c>
      <c r="J1376">
        <v>100</v>
      </c>
      <c r="K1376">
        <v>99.9</v>
      </c>
      <c r="L1376" s="1" t="s">
        <v>3356</v>
      </c>
      <c r="M1376" t="s">
        <v>1335</v>
      </c>
      <c r="N1376">
        <v>2</v>
      </c>
    </row>
    <row r="1377" spans="1:14" x14ac:dyDescent="0.25">
      <c r="A1377" s="3" t="str">
        <f>HYPERLINK("http://www.ncbi.nlm.nih.gov/gene/91442","91442")</f>
        <v>91442</v>
      </c>
      <c r="B1377" s="1" t="s">
        <v>3358</v>
      </c>
      <c r="C1377" t="s">
        <v>3359</v>
      </c>
      <c r="D1377">
        <v>122.2</v>
      </c>
      <c r="E1377">
        <v>128.5</v>
      </c>
      <c r="F1377">
        <v>99.3</v>
      </c>
      <c r="G1377">
        <v>96.7</v>
      </c>
      <c r="H1377">
        <v>133.5</v>
      </c>
      <c r="I1377">
        <v>138</v>
      </c>
      <c r="J1377">
        <v>100</v>
      </c>
      <c r="K1377">
        <v>100</v>
      </c>
      <c r="L1377" s="1" t="s">
        <v>3358</v>
      </c>
      <c r="M1377" t="s">
        <v>502</v>
      </c>
      <c r="N1377">
        <v>2</v>
      </c>
    </row>
    <row r="1378" spans="1:14" x14ac:dyDescent="0.25">
      <c r="A1378" s="3" t="str">
        <f>HYPERLINK("http://www.ncbi.nlm.nih.gov/gene/8772","8772")</f>
        <v>8772</v>
      </c>
      <c r="B1378" s="1" t="s">
        <v>3360</v>
      </c>
      <c r="C1378" t="s">
        <v>3361</v>
      </c>
      <c r="D1378">
        <v>142.30000000000001</v>
      </c>
      <c r="E1378">
        <v>147.19999999999999</v>
      </c>
      <c r="F1378">
        <v>100</v>
      </c>
      <c r="G1378">
        <v>100</v>
      </c>
      <c r="H1378">
        <v>113</v>
      </c>
      <c r="I1378">
        <v>117.1</v>
      </c>
      <c r="J1378">
        <v>100</v>
      </c>
      <c r="K1378">
        <v>100</v>
      </c>
      <c r="L1378" s="1" t="s">
        <v>3360</v>
      </c>
      <c r="M1378" t="s">
        <v>1097</v>
      </c>
      <c r="N1378">
        <v>3</v>
      </c>
    </row>
    <row r="1379" spans="1:14" x14ac:dyDescent="0.25">
      <c r="A1379" s="3" t="str">
        <f>HYPERLINK("http://www.ncbi.nlm.nih.gov/gene/2184","2184")</f>
        <v>2184</v>
      </c>
      <c r="B1379" s="1" t="s">
        <v>3362</v>
      </c>
      <c r="D1379">
        <v>132.1</v>
      </c>
      <c r="E1379">
        <v>135.80000000000001</v>
      </c>
      <c r="F1379">
        <v>100</v>
      </c>
      <c r="G1379">
        <v>100</v>
      </c>
      <c r="H1379">
        <v>130.1</v>
      </c>
      <c r="I1379">
        <v>132.6</v>
      </c>
      <c r="J1379">
        <v>100</v>
      </c>
      <c r="K1379">
        <v>100</v>
      </c>
      <c r="L1379" s="1" t="s">
        <v>3362</v>
      </c>
      <c r="M1379" t="s">
        <v>3363</v>
      </c>
      <c r="N1379">
        <v>6</v>
      </c>
    </row>
    <row r="1380" spans="1:14" x14ac:dyDescent="0.25">
      <c r="A1380" s="3" t="str">
        <f>HYPERLINK("http://www.ncbi.nlm.nih.gov/gene/63901","63901")</f>
        <v>63901</v>
      </c>
      <c r="B1380" s="1" t="s">
        <v>3364</v>
      </c>
      <c r="C1380" t="s">
        <v>3365</v>
      </c>
      <c r="D1380">
        <v>238.4</v>
      </c>
      <c r="E1380">
        <v>254.4</v>
      </c>
      <c r="F1380">
        <v>99.9</v>
      </c>
      <c r="G1380">
        <v>99.3</v>
      </c>
      <c r="H1380">
        <v>128.5</v>
      </c>
      <c r="I1380">
        <v>128.69999999999999</v>
      </c>
      <c r="J1380">
        <v>100</v>
      </c>
      <c r="K1380">
        <v>100</v>
      </c>
      <c r="L1380" s="1" t="s">
        <v>3364</v>
      </c>
      <c r="M1380" t="s">
        <v>1253</v>
      </c>
      <c r="N1380">
        <v>2</v>
      </c>
    </row>
    <row r="1381" spans="1:14" x14ac:dyDescent="0.25">
      <c r="A1381" s="3" t="str">
        <f>HYPERLINK("http://www.ncbi.nlm.nih.gov/gene/374393","374393")</f>
        <v>374393</v>
      </c>
      <c r="B1381" s="1" t="s">
        <v>3366</v>
      </c>
      <c r="C1381" t="s">
        <v>3367</v>
      </c>
      <c r="D1381">
        <v>203.6</v>
      </c>
      <c r="E1381">
        <v>193.6</v>
      </c>
      <c r="F1381">
        <v>100</v>
      </c>
      <c r="G1381">
        <v>99.9</v>
      </c>
      <c r="H1381">
        <v>138.30000000000001</v>
      </c>
      <c r="I1381">
        <v>135.80000000000001</v>
      </c>
      <c r="J1381">
        <v>100</v>
      </c>
      <c r="K1381">
        <v>100</v>
      </c>
      <c r="L1381" s="1" t="s">
        <v>3366</v>
      </c>
      <c r="M1381" t="s">
        <v>3368</v>
      </c>
      <c r="N1381">
        <v>3</v>
      </c>
    </row>
    <row r="1382" spans="1:14" x14ac:dyDescent="0.25">
      <c r="A1382" s="3" t="str">
        <f>HYPERLINK("http://www.ncbi.nlm.nih.gov/gene/84668","84668")</f>
        <v>84668</v>
      </c>
      <c r="B1382" s="1" t="s">
        <v>3369</v>
      </c>
      <c r="C1382" t="s">
        <v>3370</v>
      </c>
      <c r="D1382">
        <v>143</v>
      </c>
      <c r="E1382">
        <v>146.4</v>
      </c>
      <c r="F1382">
        <v>100</v>
      </c>
      <c r="G1382">
        <v>99.4</v>
      </c>
      <c r="H1382">
        <v>134</v>
      </c>
      <c r="I1382">
        <v>136.69999999999999</v>
      </c>
      <c r="J1382">
        <v>100</v>
      </c>
      <c r="K1382">
        <v>100</v>
      </c>
      <c r="L1382" s="1" t="s">
        <v>3369</v>
      </c>
      <c r="M1382" t="s">
        <v>360</v>
      </c>
      <c r="N1382">
        <v>5</v>
      </c>
    </row>
    <row r="1383" spans="1:14" x14ac:dyDescent="0.25">
      <c r="A1383" s="3" t="str">
        <f>HYPERLINK("http://www.ncbi.nlm.nih.gov/gene/317662","317662")</f>
        <v>317662</v>
      </c>
      <c r="B1383" s="1" t="s">
        <v>3371</v>
      </c>
      <c r="C1383" t="s">
        <v>3372</v>
      </c>
      <c r="D1383">
        <v>114.4</v>
      </c>
      <c r="E1383">
        <v>118</v>
      </c>
      <c r="F1383">
        <v>99.5</v>
      </c>
      <c r="G1383">
        <v>95.4</v>
      </c>
      <c r="H1383">
        <v>131.5</v>
      </c>
      <c r="I1383">
        <v>135.4</v>
      </c>
      <c r="J1383">
        <v>100</v>
      </c>
      <c r="K1383">
        <v>100</v>
      </c>
      <c r="L1383" s="1" t="s">
        <v>3371</v>
      </c>
      <c r="M1383" t="s">
        <v>3373</v>
      </c>
      <c r="N1383">
        <v>3</v>
      </c>
    </row>
    <row r="1384" spans="1:14" x14ac:dyDescent="0.25">
      <c r="A1384" s="3" t="str">
        <f>HYPERLINK("http://www.ncbi.nlm.nih.gov/gene/84140","84140")</f>
        <v>84140</v>
      </c>
      <c r="B1384" s="1" t="s">
        <v>3374</v>
      </c>
      <c r="C1384" t="s">
        <v>3375</v>
      </c>
      <c r="D1384">
        <v>164</v>
      </c>
      <c r="E1384">
        <v>167.2</v>
      </c>
      <c r="F1384">
        <v>100</v>
      </c>
      <c r="G1384">
        <v>99.7</v>
      </c>
      <c r="H1384">
        <v>136.80000000000001</v>
      </c>
      <c r="I1384">
        <v>137</v>
      </c>
      <c r="J1384">
        <v>100</v>
      </c>
      <c r="K1384">
        <v>100</v>
      </c>
      <c r="L1384" s="1" t="s">
        <v>3374</v>
      </c>
      <c r="M1384" t="s">
        <v>2014</v>
      </c>
      <c r="N1384">
        <v>3</v>
      </c>
    </row>
    <row r="1385" spans="1:14" x14ac:dyDescent="0.25">
      <c r="A1385" s="3" t="str">
        <f>HYPERLINK("http://www.ncbi.nlm.nih.gov/gene/54757","54757")</f>
        <v>54757</v>
      </c>
      <c r="B1385" s="1" t="s">
        <v>3376</v>
      </c>
      <c r="C1385" t="s">
        <v>3377</v>
      </c>
      <c r="D1385">
        <v>108.1</v>
      </c>
      <c r="E1385">
        <v>113.3</v>
      </c>
      <c r="F1385">
        <v>99.6</v>
      </c>
      <c r="G1385">
        <v>94.7</v>
      </c>
      <c r="H1385">
        <v>134</v>
      </c>
      <c r="I1385">
        <v>137.6</v>
      </c>
      <c r="J1385">
        <v>100</v>
      </c>
      <c r="K1385">
        <v>100</v>
      </c>
      <c r="L1385" s="1" t="s">
        <v>3376</v>
      </c>
      <c r="M1385" t="s">
        <v>3378</v>
      </c>
      <c r="N1385">
        <v>5</v>
      </c>
    </row>
    <row r="1386" spans="1:14" x14ac:dyDescent="0.25">
      <c r="A1386" s="3" t="str">
        <f>HYPERLINK("http://www.ncbi.nlm.nih.gov/gene/9917","9917")</f>
        <v>9917</v>
      </c>
      <c r="B1386" s="1" t="s">
        <v>3379</v>
      </c>
      <c r="C1386" t="s">
        <v>3380</v>
      </c>
      <c r="D1386">
        <v>150.19999999999999</v>
      </c>
      <c r="E1386">
        <v>145.80000000000001</v>
      </c>
      <c r="F1386">
        <v>100</v>
      </c>
      <c r="G1386">
        <v>99.9</v>
      </c>
      <c r="H1386">
        <v>144.69999999999999</v>
      </c>
      <c r="I1386">
        <v>149.19999999999999</v>
      </c>
      <c r="J1386">
        <v>100</v>
      </c>
      <c r="K1386">
        <v>100</v>
      </c>
      <c r="L1386" s="1" t="s">
        <v>3379</v>
      </c>
      <c r="M1386" t="s">
        <v>1487</v>
      </c>
      <c r="N1386">
        <v>2</v>
      </c>
    </row>
    <row r="1387" spans="1:14" x14ac:dyDescent="0.25">
      <c r="A1387" s="3" t="str">
        <f>HYPERLINK("http://www.ncbi.nlm.nih.gov/gene/56975","56975")</f>
        <v>56975</v>
      </c>
      <c r="B1387" s="1" t="s">
        <v>3381</v>
      </c>
      <c r="C1387" t="s">
        <v>3382</v>
      </c>
      <c r="D1387">
        <v>130.69999999999999</v>
      </c>
      <c r="E1387">
        <v>132.4</v>
      </c>
      <c r="F1387">
        <v>100</v>
      </c>
      <c r="G1387">
        <v>100</v>
      </c>
      <c r="H1387">
        <v>132</v>
      </c>
      <c r="I1387">
        <v>135.19999999999999</v>
      </c>
      <c r="J1387">
        <v>100</v>
      </c>
      <c r="K1387">
        <v>99.8</v>
      </c>
      <c r="L1387" s="1" t="s">
        <v>3381</v>
      </c>
      <c r="M1387" t="s">
        <v>2860</v>
      </c>
      <c r="N1387">
        <v>6</v>
      </c>
    </row>
    <row r="1388" spans="1:14" x14ac:dyDescent="0.25">
      <c r="A1388" s="3" t="str">
        <f>HYPERLINK("http://www.ncbi.nlm.nih.gov/gene/644815","644815")</f>
        <v>644815</v>
      </c>
      <c r="B1388" s="1" t="s">
        <v>3383</v>
      </c>
      <c r="C1388" t="s">
        <v>3384</v>
      </c>
      <c r="D1388">
        <v>160.69999999999999</v>
      </c>
      <c r="E1388">
        <v>158.6</v>
      </c>
      <c r="F1388">
        <v>100</v>
      </c>
      <c r="G1388">
        <v>100</v>
      </c>
      <c r="H1388">
        <v>147.6</v>
      </c>
      <c r="I1388">
        <v>147.5</v>
      </c>
      <c r="J1388">
        <v>100</v>
      </c>
      <c r="K1388">
        <v>100</v>
      </c>
      <c r="L1388" s="1" t="s">
        <v>3383</v>
      </c>
      <c r="M1388" t="s">
        <v>47</v>
      </c>
      <c r="N1388">
        <v>2</v>
      </c>
    </row>
    <row r="1389" spans="1:14" x14ac:dyDescent="0.25">
      <c r="A1389" s="3" t="str">
        <f>HYPERLINK("http://www.ncbi.nlm.nih.gov/gene/286077","286077")</f>
        <v>286077</v>
      </c>
      <c r="B1389" s="1" t="s">
        <v>3385</v>
      </c>
      <c r="C1389" t="s">
        <v>3386</v>
      </c>
      <c r="D1389">
        <v>91.2</v>
      </c>
      <c r="E1389">
        <v>76.599999999999994</v>
      </c>
      <c r="F1389">
        <v>84.9</v>
      </c>
      <c r="G1389">
        <v>81.5</v>
      </c>
      <c r="H1389">
        <v>183.2</v>
      </c>
      <c r="I1389">
        <v>184</v>
      </c>
      <c r="J1389">
        <v>100</v>
      </c>
      <c r="K1389">
        <v>100</v>
      </c>
      <c r="L1389" s="1" t="s">
        <v>3385</v>
      </c>
      <c r="M1389" t="s">
        <v>3387</v>
      </c>
      <c r="N1389">
        <v>3</v>
      </c>
    </row>
    <row r="1390" spans="1:14" x14ac:dyDescent="0.25">
      <c r="A1390" s="3" t="str">
        <f>HYPERLINK("http://www.ncbi.nlm.nih.gov/gene/22909","22909")</f>
        <v>22909</v>
      </c>
      <c r="B1390" s="1" t="s">
        <v>3388</v>
      </c>
      <c r="C1390" t="s">
        <v>3389</v>
      </c>
      <c r="D1390">
        <v>149.9</v>
      </c>
      <c r="E1390">
        <v>155.80000000000001</v>
      </c>
      <c r="F1390">
        <v>100</v>
      </c>
      <c r="G1390">
        <v>99.8</v>
      </c>
      <c r="H1390">
        <v>193.1</v>
      </c>
      <c r="I1390">
        <v>197.4</v>
      </c>
      <c r="J1390">
        <v>100</v>
      </c>
      <c r="K1390">
        <v>100</v>
      </c>
      <c r="L1390" s="1" t="s">
        <v>3388</v>
      </c>
      <c r="M1390" t="s">
        <v>3390</v>
      </c>
      <c r="N1390">
        <v>4</v>
      </c>
    </row>
    <row r="1391" spans="1:14" x14ac:dyDescent="0.25">
      <c r="A1391" s="3" t="str">
        <f>HYPERLINK("http://www.ncbi.nlm.nih.gov/gene/2175","2175")</f>
        <v>2175</v>
      </c>
      <c r="B1391" s="1" t="s">
        <v>3391</v>
      </c>
      <c r="C1391" t="s">
        <v>3392</v>
      </c>
      <c r="D1391">
        <v>121.4</v>
      </c>
      <c r="E1391">
        <v>124.7</v>
      </c>
      <c r="F1391">
        <v>100</v>
      </c>
      <c r="G1391">
        <v>99.4</v>
      </c>
      <c r="H1391">
        <v>124.7</v>
      </c>
      <c r="I1391">
        <v>127.4</v>
      </c>
      <c r="J1391">
        <v>100</v>
      </c>
      <c r="K1391">
        <v>100</v>
      </c>
      <c r="L1391" s="1" t="s">
        <v>3391</v>
      </c>
      <c r="M1391" t="s">
        <v>3226</v>
      </c>
      <c r="N1391">
        <v>5</v>
      </c>
    </row>
    <row r="1392" spans="1:14" x14ac:dyDescent="0.25">
      <c r="A1392" s="3" t="str">
        <f>HYPERLINK("http://www.ncbi.nlm.nih.gov/gene/2187","2187")</f>
        <v>2187</v>
      </c>
      <c r="B1392" s="1" t="s">
        <v>3393</v>
      </c>
      <c r="C1392" t="s">
        <v>3394</v>
      </c>
      <c r="D1392">
        <v>97.6</v>
      </c>
      <c r="E1392">
        <v>88.6</v>
      </c>
      <c r="F1392">
        <v>98.6</v>
      </c>
      <c r="G1392">
        <v>94.1</v>
      </c>
      <c r="H1392">
        <v>122.1</v>
      </c>
      <c r="I1392">
        <v>124</v>
      </c>
      <c r="J1392">
        <v>100</v>
      </c>
      <c r="K1392">
        <v>100</v>
      </c>
      <c r="L1392" s="1" t="s">
        <v>3393</v>
      </c>
      <c r="M1392" t="s">
        <v>3395</v>
      </c>
      <c r="N1392">
        <v>5</v>
      </c>
    </row>
    <row r="1393" spans="1:14" x14ac:dyDescent="0.25">
      <c r="A1393" s="3" t="str">
        <f>HYPERLINK("http://www.ncbi.nlm.nih.gov/gene/2176","2176")</f>
        <v>2176</v>
      </c>
      <c r="B1393" s="1" t="s">
        <v>3396</v>
      </c>
      <c r="C1393" t="s">
        <v>3397</v>
      </c>
      <c r="D1393">
        <v>115.9</v>
      </c>
      <c r="E1393">
        <v>118.4</v>
      </c>
      <c r="F1393">
        <v>97.2</v>
      </c>
      <c r="G1393">
        <v>96.6</v>
      </c>
      <c r="H1393">
        <v>141.6</v>
      </c>
      <c r="I1393">
        <v>145.30000000000001</v>
      </c>
      <c r="J1393">
        <v>97.3</v>
      </c>
      <c r="K1393">
        <v>97.3</v>
      </c>
      <c r="L1393" s="1" t="s">
        <v>3396</v>
      </c>
      <c r="M1393" t="s">
        <v>3226</v>
      </c>
      <c r="N1393">
        <v>5</v>
      </c>
    </row>
    <row r="1394" spans="1:14" x14ac:dyDescent="0.25">
      <c r="A1394" s="3" t="str">
        <f>HYPERLINK("http://www.ncbi.nlm.nih.gov/gene/2177","2177")</f>
        <v>2177</v>
      </c>
      <c r="B1394" s="1" t="s">
        <v>3398</v>
      </c>
      <c r="C1394" t="s">
        <v>3399</v>
      </c>
      <c r="D1394">
        <v>137.1</v>
      </c>
      <c r="E1394">
        <v>139.19999999999999</v>
      </c>
      <c r="F1394">
        <v>99.5</v>
      </c>
      <c r="G1394">
        <v>97.5</v>
      </c>
      <c r="H1394">
        <v>138.6</v>
      </c>
      <c r="I1394">
        <v>142.30000000000001</v>
      </c>
      <c r="J1394">
        <v>98.8</v>
      </c>
      <c r="K1394">
        <v>98.8</v>
      </c>
      <c r="L1394" s="1" t="s">
        <v>3398</v>
      </c>
      <c r="M1394" t="s">
        <v>3226</v>
      </c>
      <c r="N1394">
        <v>5</v>
      </c>
    </row>
    <row r="1395" spans="1:14" x14ac:dyDescent="0.25">
      <c r="A1395" s="3" t="str">
        <f>HYPERLINK("http://www.ncbi.nlm.nih.gov/gene/2178","2178")</f>
        <v>2178</v>
      </c>
      <c r="B1395" s="1" t="s">
        <v>3400</v>
      </c>
      <c r="C1395" t="s">
        <v>3401</v>
      </c>
      <c r="D1395">
        <v>130.4</v>
      </c>
      <c r="E1395">
        <v>134.6</v>
      </c>
      <c r="F1395">
        <v>89.8</v>
      </c>
      <c r="G1395">
        <v>85.1</v>
      </c>
      <c r="H1395">
        <v>118.2</v>
      </c>
      <c r="I1395">
        <v>119.8</v>
      </c>
      <c r="J1395">
        <v>100</v>
      </c>
      <c r="K1395">
        <v>99.9</v>
      </c>
      <c r="L1395" s="1" t="s">
        <v>3400</v>
      </c>
      <c r="M1395" t="s">
        <v>3226</v>
      </c>
      <c r="N1395">
        <v>5</v>
      </c>
    </row>
    <row r="1396" spans="1:14" x14ac:dyDescent="0.25">
      <c r="A1396" s="3" t="str">
        <f>HYPERLINK("http://www.ncbi.nlm.nih.gov/gene/2188","2188")</f>
        <v>2188</v>
      </c>
      <c r="B1396" s="1" t="s">
        <v>3402</v>
      </c>
      <c r="C1396" t="s">
        <v>3403</v>
      </c>
      <c r="D1396">
        <v>249.8</v>
      </c>
      <c r="E1396">
        <v>268.5</v>
      </c>
      <c r="F1396">
        <v>100</v>
      </c>
      <c r="G1396">
        <v>100</v>
      </c>
      <c r="H1396">
        <v>153.19999999999999</v>
      </c>
      <c r="I1396">
        <v>153.19999999999999</v>
      </c>
      <c r="J1396">
        <v>100</v>
      </c>
      <c r="K1396">
        <v>100</v>
      </c>
      <c r="L1396" s="1" t="s">
        <v>3402</v>
      </c>
      <c r="M1396" t="s">
        <v>3404</v>
      </c>
      <c r="N1396">
        <v>5</v>
      </c>
    </row>
    <row r="1397" spans="1:14" x14ac:dyDescent="0.25">
      <c r="A1397" s="3" t="str">
        <f>HYPERLINK("http://www.ncbi.nlm.nih.gov/gene/2189","2189")</f>
        <v>2189</v>
      </c>
      <c r="B1397" s="1" t="s">
        <v>3405</v>
      </c>
      <c r="C1397" t="s">
        <v>3406</v>
      </c>
      <c r="D1397">
        <v>154.80000000000001</v>
      </c>
      <c r="E1397">
        <v>161</v>
      </c>
      <c r="F1397">
        <v>100</v>
      </c>
      <c r="G1397">
        <v>99.9</v>
      </c>
      <c r="H1397">
        <v>125.4</v>
      </c>
      <c r="I1397">
        <v>129.30000000000001</v>
      </c>
      <c r="J1397">
        <v>100</v>
      </c>
      <c r="K1397">
        <v>100</v>
      </c>
      <c r="L1397" s="1" t="s">
        <v>3405</v>
      </c>
      <c r="M1397" t="s">
        <v>3404</v>
      </c>
      <c r="N1397">
        <v>5</v>
      </c>
    </row>
    <row r="1398" spans="1:14" x14ac:dyDescent="0.25">
      <c r="A1398" s="3" t="str">
        <f>HYPERLINK("http://www.ncbi.nlm.nih.gov/gene/55215","55215")</f>
        <v>55215</v>
      </c>
      <c r="B1398" s="1" t="s">
        <v>3407</v>
      </c>
      <c r="C1398" t="s">
        <v>3408</v>
      </c>
      <c r="D1398">
        <v>162</v>
      </c>
      <c r="E1398">
        <v>166.6</v>
      </c>
      <c r="F1398">
        <v>99.9</v>
      </c>
      <c r="G1398">
        <v>99.2</v>
      </c>
      <c r="H1398">
        <v>118.9</v>
      </c>
      <c r="I1398">
        <v>121.9</v>
      </c>
      <c r="J1398">
        <v>100</v>
      </c>
      <c r="K1398">
        <v>100</v>
      </c>
      <c r="L1398" s="1" t="s">
        <v>3407</v>
      </c>
      <c r="M1398" t="s">
        <v>3226</v>
      </c>
      <c r="N1398">
        <v>5</v>
      </c>
    </row>
    <row r="1399" spans="1:14" x14ac:dyDescent="0.25">
      <c r="A1399" s="3" t="str">
        <f>HYPERLINK("http://www.ncbi.nlm.nih.gov/gene/55120","55120")</f>
        <v>55120</v>
      </c>
      <c r="B1399" s="1" t="s">
        <v>3409</v>
      </c>
      <c r="C1399" t="s">
        <v>3410</v>
      </c>
      <c r="D1399">
        <v>123.2</v>
      </c>
      <c r="E1399">
        <v>126.2</v>
      </c>
      <c r="F1399">
        <v>100</v>
      </c>
      <c r="G1399">
        <v>98.6</v>
      </c>
      <c r="H1399">
        <v>132.69999999999999</v>
      </c>
      <c r="I1399">
        <v>135.19999999999999</v>
      </c>
      <c r="J1399">
        <v>100</v>
      </c>
      <c r="K1399">
        <v>100</v>
      </c>
      <c r="L1399" s="1" t="s">
        <v>3409</v>
      </c>
      <c r="M1399" t="s">
        <v>3226</v>
      </c>
      <c r="N1399">
        <v>5</v>
      </c>
    </row>
    <row r="1400" spans="1:14" x14ac:dyDescent="0.25">
      <c r="A1400" s="3" t="str">
        <f>HYPERLINK("http://www.ncbi.nlm.nih.gov/gene/57697","57697")</f>
        <v>57697</v>
      </c>
      <c r="B1400" s="1" t="s">
        <v>3411</v>
      </c>
      <c r="C1400" t="s">
        <v>3412</v>
      </c>
      <c r="D1400">
        <v>117.6</v>
      </c>
      <c r="E1400">
        <v>112.9</v>
      </c>
      <c r="F1400">
        <v>99.6</v>
      </c>
      <c r="G1400">
        <v>97.3</v>
      </c>
      <c r="H1400">
        <v>123.6</v>
      </c>
      <c r="I1400">
        <v>124.7</v>
      </c>
      <c r="J1400">
        <v>100</v>
      </c>
      <c r="K1400">
        <v>100</v>
      </c>
      <c r="L1400" s="1" t="s">
        <v>3411</v>
      </c>
      <c r="M1400" t="s">
        <v>3413</v>
      </c>
      <c r="N1400">
        <v>4</v>
      </c>
    </row>
    <row r="1401" spans="1:14" x14ac:dyDescent="0.25">
      <c r="A1401" s="3" t="str">
        <f>HYPERLINK("http://www.ncbi.nlm.nih.gov/gene/84188","84188")</f>
        <v>84188</v>
      </c>
      <c r="B1401" s="1" t="s">
        <v>3414</v>
      </c>
      <c r="C1401" t="s">
        <v>3415</v>
      </c>
      <c r="D1401">
        <v>82</v>
      </c>
      <c r="E1401">
        <v>84.8</v>
      </c>
      <c r="F1401">
        <v>97.6</v>
      </c>
      <c r="G1401">
        <v>92.8</v>
      </c>
      <c r="H1401">
        <v>126.2</v>
      </c>
      <c r="I1401">
        <v>129.80000000000001</v>
      </c>
      <c r="J1401">
        <v>100</v>
      </c>
      <c r="K1401">
        <v>100</v>
      </c>
      <c r="L1401" s="1" t="s">
        <v>3414</v>
      </c>
      <c r="M1401" t="s">
        <v>3416</v>
      </c>
      <c r="N1401">
        <v>6</v>
      </c>
    </row>
    <row r="1402" spans="1:14" x14ac:dyDescent="0.25">
      <c r="A1402" s="3" t="str">
        <f>HYPERLINK("http://www.ncbi.nlm.nih.gov/gene/10667","10667")</f>
        <v>10667</v>
      </c>
      <c r="B1402" s="1" t="s">
        <v>3417</v>
      </c>
      <c r="C1402" t="s">
        <v>3418</v>
      </c>
      <c r="D1402">
        <v>197.5</v>
      </c>
      <c r="E1402">
        <v>206.7</v>
      </c>
      <c r="F1402">
        <v>100</v>
      </c>
      <c r="G1402">
        <v>100</v>
      </c>
      <c r="H1402">
        <v>139.80000000000001</v>
      </c>
      <c r="I1402">
        <v>143.9</v>
      </c>
      <c r="J1402">
        <v>100</v>
      </c>
      <c r="K1402">
        <v>100</v>
      </c>
      <c r="L1402" s="1" t="s">
        <v>3417</v>
      </c>
      <c r="M1402" t="s">
        <v>3419</v>
      </c>
      <c r="N1402">
        <v>6</v>
      </c>
    </row>
    <row r="1403" spans="1:14" x14ac:dyDescent="0.25">
      <c r="A1403" s="3" t="str">
        <f>HYPERLINK("http://www.ncbi.nlm.nih.gov/gene/10056","10056")</f>
        <v>10056</v>
      </c>
      <c r="B1403" s="1" t="s">
        <v>3420</v>
      </c>
      <c r="C1403" t="s">
        <v>3421</v>
      </c>
      <c r="D1403">
        <v>90.8</v>
      </c>
      <c r="E1403">
        <v>94.2</v>
      </c>
      <c r="F1403">
        <v>98.8</v>
      </c>
      <c r="G1403">
        <v>94.6</v>
      </c>
      <c r="H1403">
        <v>127.8</v>
      </c>
      <c r="I1403">
        <v>131.1</v>
      </c>
      <c r="J1403">
        <v>100</v>
      </c>
      <c r="K1403">
        <v>100</v>
      </c>
      <c r="L1403" s="1" t="s">
        <v>3420</v>
      </c>
      <c r="M1403" t="s">
        <v>830</v>
      </c>
      <c r="N1403">
        <v>4</v>
      </c>
    </row>
    <row r="1404" spans="1:14" x14ac:dyDescent="0.25">
      <c r="A1404" s="3" t="str">
        <f>HYPERLINK("http://www.ncbi.nlm.nih.gov/gene/355","355")</f>
        <v>355</v>
      </c>
      <c r="B1404" s="1" t="s">
        <v>3422</v>
      </c>
      <c r="C1404" t="s">
        <v>3423</v>
      </c>
      <c r="D1404">
        <v>256.7</v>
      </c>
      <c r="E1404">
        <v>262.8</v>
      </c>
      <c r="F1404">
        <v>100</v>
      </c>
      <c r="G1404">
        <v>99.6</v>
      </c>
      <c r="H1404">
        <v>131.6</v>
      </c>
      <c r="I1404">
        <v>133.80000000000001</v>
      </c>
      <c r="J1404">
        <v>100</v>
      </c>
      <c r="K1404">
        <v>100</v>
      </c>
      <c r="L1404" s="1" t="s">
        <v>3422</v>
      </c>
      <c r="M1404" t="s">
        <v>3108</v>
      </c>
      <c r="N1404">
        <v>4</v>
      </c>
    </row>
    <row r="1405" spans="1:14" x14ac:dyDescent="0.25">
      <c r="A1405" s="3" t="str">
        <f>HYPERLINK("http://www.ncbi.nlm.nih.gov/gene/356","356")</f>
        <v>356</v>
      </c>
      <c r="B1405" s="1" t="s">
        <v>3424</v>
      </c>
      <c r="C1405" t="s">
        <v>3425</v>
      </c>
      <c r="D1405">
        <v>99.5</v>
      </c>
      <c r="E1405">
        <v>98</v>
      </c>
      <c r="F1405">
        <v>100</v>
      </c>
      <c r="G1405">
        <v>99.6</v>
      </c>
      <c r="H1405">
        <v>186.3</v>
      </c>
      <c r="I1405">
        <v>192.2</v>
      </c>
      <c r="J1405">
        <v>100</v>
      </c>
      <c r="K1405">
        <v>100</v>
      </c>
      <c r="L1405" s="1" t="s">
        <v>3424</v>
      </c>
      <c r="M1405" t="s">
        <v>3426</v>
      </c>
      <c r="N1405">
        <v>4</v>
      </c>
    </row>
    <row r="1406" spans="1:14" x14ac:dyDescent="0.25">
      <c r="A1406" s="3" t="str">
        <f>HYPERLINK("http://www.ncbi.nlm.nih.gov/gene/22868","22868")</f>
        <v>22868</v>
      </c>
      <c r="B1406" s="1" t="s">
        <v>3427</v>
      </c>
      <c r="C1406" t="s">
        <v>3428</v>
      </c>
      <c r="D1406">
        <v>153.6</v>
      </c>
      <c r="E1406">
        <v>141.30000000000001</v>
      </c>
      <c r="F1406">
        <v>99.8</v>
      </c>
      <c r="G1406">
        <v>98.9</v>
      </c>
      <c r="H1406">
        <v>128.80000000000001</v>
      </c>
      <c r="I1406">
        <v>128.5</v>
      </c>
      <c r="J1406">
        <v>100</v>
      </c>
      <c r="K1406">
        <v>100</v>
      </c>
      <c r="L1406" s="1" t="s">
        <v>3427</v>
      </c>
      <c r="M1406" t="s">
        <v>905</v>
      </c>
      <c r="N1406">
        <v>3</v>
      </c>
    </row>
    <row r="1407" spans="1:14" x14ac:dyDescent="0.25">
      <c r="A1407" s="3" t="str">
        <f>HYPERLINK("http://www.ncbi.nlm.nih.gov/gene/2195","2195")</f>
        <v>2195</v>
      </c>
      <c r="B1407" s="1" t="s">
        <v>3429</v>
      </c>
      <c r="C1407" t="s">
        <v>3430</v>
      </c>
      <c r="D1407">
        <v>196.9</v>
      </c>
      <c r="E1407">
        <v>195</v>
      </c>
      <c r="F1407">
        <v>100</v>
      </c>
      <c r="G1407">
        <v>100</v>
      </c>
      <c r="H1407">
        <v>160.9</v>
      </c>
      <c r="I1407">
        <v>162.80000000000001</v>
      </c>
      <c r="J1407">
        <v>100</v>
      </c>
      <c r="K1407">
        <v>100</v>
      </c>
      <c r="L1407" s="1" t="s">
        <v>3429</v>
      </c>
      <c r="M1407" t="s">
        <v>998</v>
      </c>
      <c r="N1407">
        <v>2</v>
      </c>
    </row>
    <row r="1408" spans="1:14" x14ac:dyDescent="0.25">
      <c r="A1408" s="3" t="str">
        <f>HYPERLINK("http://www.ncbi.nlm.nih.gov/gene/2196","2196")</f>
        <v>2196</v>
      </c>
      <c r="B1408" s="1" t="s">
        <v>3431</v>
      </c>
      <c r="C1408" t="s">
        <v>3432</v>
      </c>
      <c r="D1408">
        <v>156.80000000000001</v>
      </c>
      <c r="E1408">
        <v>154.4</v>
      </c>
      <c r="F1408">
        <v>100</v>
      </c>
      <c r="G1408">
        <v>99.8</v>
      </c>
      <c r="H1408">
        <v>156.80000000000001</v>
      </c>
      <c r="I1408">
        <v>158.80000000000001</v>
      </c>
      <c r="J1408">
        <v>100</v>
      </c>
      <c r="K1408">
        <v>100</v>
      </c>
      <c r="L1408" s="1" t="s">
        <v>3431</v>
      </c>
      <c r="M1408" t="s">
        <v>285</v>
      </c>
      <c r="N1408">
        <v>1</v>
      </c>
    </row>
    <row r="1409" spans="1:14" x14ac:dyDescent="0.25">
      <c r="A1409" s="3" t="str">
        <f>HYPERLINK("http://www.ncbi.nlm.nih.gov/gene/79633","79633")</f>
        <v>79633</v>
      </c>
      <c r="B1409" s="1" t="s">
        <v>3433</v>
      </c>
      <c r="C1409" t="s">
        <v>3434</v>
      </c>
      <c r="D1409">
        <v>229.4</v>
      </c>
      <c r="E1409">
        <v>227</v>
      </c>
      <c r="F1409">
        <v>100</v>
      </c>
      <c r="G1409">
        <v>100</v>
      </c>
      <c r="H1409">
        <v>155</v>
      </c>
      <c r="I1409">
        <v>154.6</v>
      </c>
      <c r="J1409">
        <v>100</v>
      </c>
      <c r="K1409">
        <v>100</v>
      </c>
      <c r="L1409" s="1" t="s">
        <v>3433</v>
      </c>
      <c r="M1409" t="s">
        <v>3435</v>
      </c>
      <c r="N1409">
        <v>5</v>
      </c>
    </row>
    <row r="1410" spans="1:14" x14ac:dyDescent="0.25">
      <c r="A1410" s="3" t="str">
        <f>HYPERLINK("http://www.ncbi.nlm.nih.gov/gene/2192","2192")</f>
        <v>2192</v>
      </c>
      <c r="B1410" s="1" t="s">
        <v>3436</v>
      </c>
      <c r="C1410" t="s">
        <v>3437</v>
      </c>
      <c r="D1410">
        <v>143.30000000000001</v>
      </c>
      <c r="E1410">
        <v>148.1</v>
      </c>
      <c r="F1410">
        <v>99.7</v>
      </c>
      <c r="G1410">
        <v>97.6</v>
      </c>
      <c r="H1410">
        <v>140</v>
      </c>
      <c r="I1410">
        <v>143.69999999999999</v>
      </c>
      <c r="J1410">
        <v>100</v>
      </c>
      <c r="K1410">
        <v>99.7</v>
      </c>
      <c r="L1410" s="1" t="s">
        <v>3436</v>
      </c>
      <c r="M1410" t="s">
        <v>1253</v>
      </c>
      <c r="N1410">
        <v>2</v>
      </c>
    </row>
    <row r="1411" spans="1:14" x14ac:dyDescent="0.25">
      <c r="A1411" s="3" t="str">
        <f>HYPERLINK("http://www.ncbi.nlm.nih.gov/gene/10516","10516")</f>
        <v>10516</v>
      </c>
      <c r="B1411" s="1" t="s">
        <v>3438</v>
      </c>
      <c r="C1411" t="s">
        <v>3439</v>
      </c>
      <c r="D1411">
        <v>116.9</v>
      </c>
      <c r="E1411">
        <v>121.2</v>
      </c>
      <c r="F1411">
        <v>91.8</v>
      </c>
      <c r="G1411">
        <v>91.8</v>
      </c>
      <c r="H1411">
        <v>113.7</v>
      </c>
      <c r="I1411">
        <v>117.7</v>
      </c>
      <c r="J1411">
        <v>91.8</v>
      </c>
      <c r="K1411">
        <v>91.8</v>
      </c>
      <c r="L1411" s="1" t="s">
        <v>3438</v>
      </c>
      <c r="M1411" t="s">
        <v>3440</v>
      </c>
      <c r="N1411">
        <v>5</v>
      </c>
    </row>
    <row r="1412" spans="1:14" x14ac:dyDescent="0.25">
      <c r="A1412" s="3" t="str">
        <f>HYPERLINK("http://www.ncbi.nlm.nih.gov/gene/2200","2200")</f>
        <v>2200</v>
      </c>
      <c r="B1412" s="1" t="s">
        <v>3441</v>
      </c>
      <c r="C1412" t="s">
        <v>3442</v>
      </c>
      <c r="D1412">
        <v>165</v>
      </c>
      <c r="E1412">
        <v>169.7</v>
      </c>
      <c r="F1412">
        <v>100</v>
      </c>
      <c r="G1412">
        <v>99.9</v>
      </c>
      <c r="H1412">
        <v>140.19999999999999</v>
      </c>
      <c r="I1412">
        <v>144.19999999999999</v>
      </c>
      <c r="J1412">
        <v>100</v>
      </c>
      <c r="K1412">
        <v>100</v>
      </c>
      <c r="L1412" s="1" t="s">
        <v>3441</v>
      </c>
      <c r="M1412" t="s">
        <v>3443</v>
      </c>
      <c r="N1412">
        <v>7</v>
      </c>
    </row>
    <row r="1413" spans="1:14" x14ac:dyDescent="0.25">
      <c r="A1413" s="3" t="str">
        <f>HYPERLINK("http://www.ncbi.nlm.nih.gov/gene/2201","2201")</f>
        <v>2201</v>
      </c>
      <c r="B1413" s="1" t="s">
        <v>3444</v>
      </c>
      <c r="C1413" t="s">
        <v>3445</v>
      </c>
      <c r="D1413">
        <v>166.7</v>
      </c>
      <c r="E1413">
        <v>171.3</v>
      </c>
      <c r="F1413">
        <v>100</v>
      </c>
      <c r="G1413">
        <v>99.9</v>
      </c>
      <c r="H1413">
        <v>140.1</v>
      </c>
      <c r="I1413">
        <v>144.1</v>
      </c>
      <c r="J1413">
        <v>100</v>
      </c>
      <c r="K1413">
        <v>100</v>
      </c>
      <c r="L1413" s="1" t="s">
        <v>3444</v>
      </c>
      <c r="M1413" t="s">
        <v>3446</v>
      </c>
      <c r="N1413">
        <v>5</v>
      </c>
    </row>
    <row r="1414" spans="1:14" x14ac:dyDescent="0.25">
      <c r="A1414" s="3" t="str">
        <f>HYPERLINK("http://www.ncbi.nlm.nih.gov/gene/2203","2203")</f>
        <v>2203</v>
      </c>
      <c r="B1414" s="1" t="s">
        <v>3447</v>
      </c>
      <c r="C1414" t="s">
        <v>3448</v>
      </c>
      <c r="D1414">
        <v>97.4</v>
      </c>
      <c r="E1414">
        <v>101.3</v>
      </c>
      <c r="F1414">
        <v>93.7</v>
      </c>
      <c r="G1414">
        <v>93.3</v>
      </c>
      <c r="H1414">
        <v>141.19999999999999</v>
      </c>
      <c r="I1414">
        <v>146.30000000000001</v>
      </c>
      <c r="J1414">
        <v>93.7</v>
      </c>
      <c r="K1414">
        <v>93.7</v>
      </c>
      <c r="L1414" s="1" t="s">
        <v>3447</v>
      </c>
      <c r="M1414" t="s">
        <v>116</v>
      </c>
      <c r="N1414">
        <v>3</v>
      </c>
    </row>
    <row r="1415" spans="1:14" x14ac:dyDescent="0.25">
      <c r="A1415" s="3" t="str">
        <f>HYPERLINK("http://www.ncbi.nlm.nih.gov/gene/26224","26224")</f>
        <v>26224</v>
      </c>
      <c r="B1415" s="1" t="s">
        <v>3449</v>
      </c>
      <c r="C1415" t="s">
        <v>3450</v>
      </c>
      <c r="D1415">
        <v>241.9</v>
      </c>
      <c r="E1415">
        <v>236.9</v>
      </c>
      <c r="F1415">
        <v>100</v>
      </c>
      <c r="G1415">
        <v>100</v>
      </c>
      <c r="H1415">
        <v>134.30000000000001</v>
      </c>
      <c r="I1415">
        <v>135</v>
      </c>
      <c r="J1415">
        <v>100</v>
      </c>
      <c r="K1415">
        <v>100</v>
      </c>
      <c r="L1415" s="1" t="s">
        <v>3449</v>
      </c>
      <c r="M1415" t="s">
        <v>228</v>
      </c>
      <c r="N1415">
        <v>3</v>
      </c>
    </row>
    <row r="1416" spans="1:14" x14ac:dyDescent="0.25">
      <c r="A1416" s="3" t="str">
        <f>HYPERLINK("http://www.ncbi.nlm.nih.gov/gene/26235","26235")</f>
        <v>26235</v>
      </c>
      <c r="B1416" s="1" t="s">
        <v>3451</v>
      </c>
      <c r="C1416" t="s">
        <v>3452</v>
      </c>
      <c r="D1416">
        <v>197.4</v>
      </c>
      <c r="E1416">
        <v>200.7</v>
      </c>
      <c r="F1416">
        <v>100</v>
      </c>
      <c r="G1416">
        <v>100</v>
      </c>
      <c r="H1416">
        <v>143.80000000000001</v>
      </c>
      <c r="I1416">
        <v>146.30000000000001</v>
      </c>
      <c r="J1416">
        <v>100</v>
      </c>
      <c r="K1416">
        <v>100</v>
      </c>
      <c r="L1416" s="1" t="s">
        <v>3451</v>
      </c>
      <c r="M1416" t="s">
        <v>830</v>
      </c>
      <c r="N1416">
        <v>4</v>
      </c>
    </row>
    <row r="1417" spans="1:14" x14ac:dyDescent="0.25">
      <c r="A1417" s="3" t="str">
        <f>HYPERLINK("http://www.ncbi.nlm.nih.gov/gene/80204","80204")</f>
        <v>80204</v>
      </c>
      <c r="B1417" s="1" t="s">
        <v>3453</v>
      </c>
      <c r="C1417" t="s">
        <v>3454</v>
      </c>
      <c r="D1417">
        <v>99.5</v>
      </c>
      <c r="E1417">
        <v>101.5</v>
      </c>
      <c r="F1417">
        <v>96.9</v>
      </c>
      <c r="G1417">
        <v>92.7</v>
      </c>
      <c r="H1417">
        <v>131.1</v>
      </c>
      <c r="I1417">
        <v>135.19999999999999</v>
      </c>
      <c r="J1417">
        <v>100</v>
      </c>
      <c r="K1417">
        <v>100</v>
      </c>
      <c r="L1417" s="1" t="s">
        <v>3453</v>
      </c>
      <c r="M1417" t="s">
        <v>189</v>
      </c>
      <c r="N1417">
        <v>2</v>
      </c>
    </row>
    <row r="1418" spans="1:14" x14ac:dyDescent="0.25">
      <c r="A1418" s="3" t="str">
        <f>HYPERLINK("http://www.ncbi.nlm.nih.gov/gene/79791","79791")</f>
        <v>79791</v>
      </c>
      <c r="B1418" s="1" t="s">
        <v>3455</v>
      </c>
      <c r="C1418" t="s">
        <v>3456</v>
      </c>
      <c r="D1418">
        <v>111.3</v>
      </c>
      <c r="E1418">
        <v>112.4</v>
      </c>
      <c r="F1418">
        <v>96</v>
      </c>
      <c r="G1418">
        <v>93.1</v>
      </c>
      <c r="H1418">
        <v>134.80000000000001</v>
      </c>
      <c r="I1418">
        <v>136</v>
      </c>
      <c r="J1418">
        <v>100</v>
      </c>
      <c r="K1418">
        <v>99.9</v>
      </c>
      <c r="L1418" s="1" t="s">
        <v>3455</v>
      </c>
      <c r="M1418" t="s">
        <v>228</v>
      </c>
      <c r="N1418">
        <v>3</v>
      </c>
    </row>
    <row r="1419" spans="1:14" x14ac:dyDescent="0.25">
      <c r="A1419" s="3" t="str">
        <f>HYPERLINK("http://www.ncbi.nlm.nih.gov/gene/114907","114907")</f>
        <v>114907</v>
      </c>
      <c r="B1419" s="1" t="s">
        <v>3457</v>
      </c>
      <c r="C1419" t="s">
        <v>3458</v>
      </c>
      <c r="D1419">
        <v>148.6</v>
      </c>
      <c r="E1419">
        <v>158.19999999999999</v>
      </c>
      <c r="F1419">
        <v>100</v>
      </c>
      <c r="G1419">
        <v>100</v>
      </c>
      <c r="H1419">
        <v>114.5</v>
      </c>
      <c r="I1419">
        <v>117.1</v>
      </c>
      <c r="J1419">
        <v>100</v>
      </c>
      <c r="K1419">
        <v>100</v>
      </c>
      <c r="L1419" s="1" t="s">
        <v>3457</v>
      </c>
      <c r="M1419" t="s">
        <v>197</v>
      </c>
      <c r="N1419">
        <v>2</v>
      </c>
    </row>
    <row r="1420" spans="1:14" x14ac:dyDescent="0.25">
      <c r="A1420" s="3" t="str">
        <f>HYPERLINK("http://www.ncbi.nlm.nih.gov/gene/81545","81545")</f>
        <v>81545</v>
      </c>
      <c r="B1420" s="1" t="s">
        <v>3459</v>
      </c>
      <c r="C1420" t="s">
        <v>3460</v>
      </c>
      <c r="D1420">
        <v>177.5</v>
      </c>
      <c r="E1420">
        <v>188.8</v>
      </c>
      <c r="F1420">
        <v>99.9</v>
      </c>
      <c r="G1420">
        <v>99.3</v>
      </c>
      <c r="H1420">
        <v>134.4</v>
      </c>
      <c r="I1420">
        <v>138.1</v>
      </c>
      <c r="J1420">
        <v>100</v>
      </c>
      <c r="K1420">
        <v>100</v>
      </c>
      <c r="L1420" s="1" t="s">
        <v>3459</v>
      </c>
      <c r="M1420" t="s">
        <v>718</v>
      </c>
      <c r="N1420">
        <v>2</v>
      </c>
    </row>
    <row r="1421" spans="1:14" x14ac:dyDescent="0.25">
      <c r="A1421" s="3" t="str">
        <f>HYPERLINK("http://www.ncbi.nlm.nih.gov/gene/25793","25793")</f>
        <v>25793</v>
      </c>
      <c r="B1421" s="1" t="s">
        <v>3461</v>
      </c>
      <c r="C1421" t="s">
        <v>3462</v>
      </c>
      <c r="D1421">
        <v>197</v>
      </c>
      <c r="E1421">
        <v>206.2</v>
      </c>
      <c r="F1421">
        <v>99.8</v>
      </c>
      <c r="G1421">
        <v>97.9</v>
      </c>
      <c r="H1421">
        <v>156.30000000000001</v>
      </c>
      <c r="I1421">
        <v>163.1</v>
      </c>
      <c r="J1421">
        <v>100</v>
      </c>
      <c r="K1421">
        <v>100</v>
      </c>
      <c r="L1421" s="1" t="s">
        <v>3461</v>
      </c>
      <c r="M1421" t="s">
        <v>3463</v>
      </c>
      <c r="N1421">
        <v>4</v>
      </c>
    </row>
    <row r="1422" spans="1:14" x14ac:dyDescent="0.25">
      <c r="A1422" s="3" t="str">
        <f>HYPERLINK("http://www.ncbi.nlm.nih.gov/gene/6468","6468")</f>
        <v>6468</v>
      </c>
      <c r="B1422" s="1" t="s">
        <v>3464</v>
      </c>
      <c r="C1422" t="s">
        <v>3465</v>
      </c>
      <c r="D1422">
        <v>77.599999999999994</v>
      </c>
      <c r="E1422">
        <v>77.099999999999994</v>
      </c>
      <c r="F1422">
        <v>81.599999999999994</v>
      </c>
      <c r="G1422">
        <v>79</v>
      </c>
      <c r="H1422">
        <v>105.5</v>
      </c>
      <c r="I1422">
        <v>95.1</v>
      </c>
      <c r="J1422">
        <v>83.5</v>
      </c>
      <c r="K1422">
        <v>80</v>
      </c>
      <c r="L1422" s="1" t="s">
        <v>3464</v>
      </c>
      <c r="M1422" t="s">
        <v>1253</v>
      </c>
      <c r="N1422">
        <v>2</v>
      </c>
    </row>
    <row r="1423" spans="1:14" x14ac:dyDescent="0.25">
      <c r="A1423" s="3" t="str">
        <f>HYPERLINK("http://www.ncbi.nlm.nih.gov/gene/55294","55294")</f>
        <v>55294</v>
      </c>
      <c r="B1423" s="1" t="s">
        <v>3466</v>
      </c>
      <c r="C1423" t="s">
        <v>3467</v>
      </c>
      <c r="D1423">
        <v>166</v>
      </c>
      <c r="E1423">
        <v>171.4</v>
      </c>
      <c r="F1423">
        <v>99.9</v>
      </c>
      <c r="G1423">
        <v>99.2</v>
      </c>
      <c r="H1423">
        <v>155.1</v>
      </c>
      <c r="I1423">
        <v>160.1</v>
      </c>
      <c r="J1423">
        <v>100</v>
      </c>
      <c r="K1423">
        <v>100</v>
      </c>
      <c r="L1423" s="1" t="s">
        <v>3466</v>
      </c>
      <c r="M1423" t="s">
        <v>19</v>
      </c>
      <c r="N1423">
        <v>2</v>
      </c>
    </row>
    <row r="1424" spans="1:14" x14ac:dyDescent="0.25">
      <c r="A1424" s="3" t="str">
        <f>HYPERLINK("http://www.ncbi.nlm.nih.gov/gene/2209","2209")</f>
        <v>2209</v>
      </c>
      <c r="B1424" s="1" t="s">
        <v>3468</v>
      </c>
      <c r="C1424" t="s">
        <v>3469</v>
      </c>
      <c r="D1424">
        <v>52.2</v>
      </c>
      <c r="E1424">
        <v>54.9</v>
      </c>
      <c r="F1424">
        <v>46.8</v>
      </c>
      <c r="G1424">
        <v>44.1</v>
      </c>
      <c r="H1424">
        <v>187.9</v>
      </c>
      <c r="I1424">
        <v>192.7</v>
      </c>
      <c r="J1424">
        <v>100</v>
      </c>
      <c r="K1424">
        <v>100</v>
      </c>
      <c r="L1424" s="1" t="s">
        <v>3468</v>
      </c>
      <c r="M1424" t="s">
        <v>502</v>
      </c>
      <c r="N1424">
        <v>2</v>
      </c>
    </row>
    <row r="1425" spans="1:14" x14ac:dyDescent="0.25">
      <c r="A1425" s="3" t="str">
        <f>HYPERLINK("http://www.ncbi.nlm.nih.gov/gene/2212","2212")</f>
        <v>2212</v>
      </c>
      <c r="B1425" s="1" t="s">
        <v>3470</v>
      </c>
      <c r="C1425" t="s">
        <v>3471</v>
      </c>
      <c r="D1425">
        <v>188.9</v>
      </c>
      <c r="E1425">
        <v>195</v>
      </c>
      <c r="F1425">
        <v>100</v>
      </c>
      <c r="G1425">
        <v>100</v>
      </c>
      <c r="H1425">
        <v>192.9</v>
      </c>
      <c r="I1425">
        <v>199.7</v>
      </c>
      <c r="J1425">
        <v>100</v>
      </c>
      <c r="K1425">
        <v>100</v>
      </c>
      <c r="L1425" s="1" t="s">
        <v>3470</v>
      </c>
      <c r="M1425" t="s">
        <v>3472</v>
      </c>
      <c r="N1425">
        <v>3</v>
      </c>
    </row>
    <row r="1426" spans="1:14" x14ac:dyDescent="0.25">
      <c r="A1426" s="3" t="str">
        <f>HYPERLINK("http://www.ncbi.nlm.nih.gov/gene/2213","2213")</f>
        <v>2213</v>
      </c>
      <c r="B1426" s="1" t="s">
        <v>3473</v>
      </c>
      <c r="C1426" t="s">
        <v>3474</v>
      </c>
      <c r="D1426">
        <v>130.5</v>
      </c>
      <c r="E1426">
        <v>135.80000000000001</v>
      </c>
      <c r="F1426">
        <v>99.5</v>
      </c>
      <c r="G1426">
        <v>95.4</v>
      </c>
      <c r="H1426">
        <v>196.5</v>
      </c>
      <c r="I1426">
        <v>202.5</v>
      </c>
      <c r="J1426">
        <v>100</v>
      </c>
      <c r="K1426">
        <v>100</v>
      </c>
      <c r="L1426" s="1" t="s">
        <v>3473</v>
      </c>
      <c r="M1426" t="s">
        <v>2831</v>
      </c>
      <c r="N1426">
        <v>3</v>
      </c>
    </row>
    <row r="1427" spans="1:14" x14ac:dyDescent="0.25">
      <c r="A1427" s="3" t="str">
        <f>HYPERLINK("http://www.ncbi.nlm.nih.gov/gene/9103","9103")</f>
        <v>9103</v>
      </c>
      <c r="B1427" s="1" t="s">
        <v>3475</v>
      </c>
      <c r="C1427" t="s">
        <v>3476</v>
      </c>
      <c r="D1427">
        <v>161.9</v>
      </c>
      <c r="E1427">
        <v>170.9</v>
      </c>
      <c r="F1427">
        <v>98.9</v>
      </c>
      <c r="G1427">
        <v>98.6</v>
      </c>
      <c r="H1427">
        <v>171.5</v>
      </c>
      <c r="I1427">
        <v>177.1</v>
      </c>
      <c r="J1427">
        <v>98.1</v>
      </c>
      <c r="K1427">
        <v>97.2</v>
      </c>
      <c r="L1427" s="1" t="s">
        <v>3475</v>
      </c>
      <c r="M1427" t="s">
        <v>16</v>
      </c>
      <c r="N1427">
        <v>2</v>
      </c>
    </row>
    <row r="1428" spans="1:14" x14ac:dyDescent="0.25">
      <c r="A1428" s="3" t="str">
        <f>HYPERLINK("http://www.ncbi.nlm.nih.gov/gene/2214","2214")</f>
        <v>2214</v>
      </c>
      <c r="B1428" s="1" t="s">
        <v>3477</v>
      </c>
      <c r="C1428" t="s">
        <v>3478</v>
      </c>
      <c r="D1428">
        <v>191.2</v>
      </c>
      <c r="E1428">
        <v>196.4</v>
      </c>
      <c r="F1428">
        <v>99</v>
      </c>
      <c r="G1428">
        <v>97.1</v>
      </c>
      <c r="H1428">
        <v>181.2</v>
      </c>
      <c r="I1428">
        <v>185.7</v>
      </c>
      <c r="J1428">
        <v>100</v>
      </c>
      <c r="K1428">
        <v>100</v>
      </c>
      <c r="L1428" s="1" t="s">
        <v>3477</v>
      </c>
      <c r="M1428" t="s">
        <v>1097</v>
      </c>
      <c r="N1428">
        <v>3</v>
      </c>
    </row>
    <row r="1429" spans="1:14" x14ac:dyDescent="0.25">
      <c r="A1429" s="3" t="str">
        <f>HYPERLINK("http://www.ncbi.nlm.nih.gov/gene/2215","2215")</f>
        <v>2215</v>
      </c>
      <c r="B1429" s="1" t="s">
        <v>3479</v>
      </c>
      <c r="C1429" t="s">
        <v>3480</v>
      </c>
      <c r="D1429">
        <v>142</v>
      </c>
      <c r="E1429">
        <v>149.19999999999999</v>
      </c>
      <c r="F1429">
        <v>99.3</v>
      </c>
      <c r="G1429">
        <v>97.9</v>
      </c>
      <c r="H1429">
        <v>154</v>
      </c>
      <c r="I1429">
        <v>157.30000000000001</v>
      </c>
      <c r="J1429">
        <v>98.1</v>
      </c>
      <c r="K1429">
        <v>98</v>
      </c>
      <c r="L1429" s="1" t="s">
        <v>3479</v>
      </c>
      <c r="M1429" t="s">
        <v>3481</v>
      </c>
      <c r="N1429">
        <v>2</v>
      </c>
    </row>
    <row r="1430" spans="1:14" x14ac:dyDescent="0.25">
      <c r="A1430" s="3" t="str">
        <f>HYPERLINK("http://www.ncbi.nlm.nih.gov/gene/23149","23149")</f>
        <v>23149</v>
      </c>
      <c r="B1430" s="1" t="s">
        <v>3482</v>
      </c>
      <c r="C1430" t="s">
        <v>3483</v>
      </c>
      <c r="D1430">
        <v>106.7</v>
      </c>
      <c r="E1430">
        <v>111.1</v>
      </c>
      <c r="F1430">
        <v>98.9</v>
      </c>
      <c r="G1430">
        <v>97.7</v>
      </c>
      <c r="H1430">
        <v>138.5</v>
      </c>
      <c r="I1430">
        <v>142.1</v>
      </c>
      <c r="J1430">
        <v>100</v>
      </c>
      <c r="K1430">
        <v>100</v>
      </c>
      <c r="L1430" s="1" t="s">
        <v>3482</v>
      </c>
      <c r="M1430" t="s">
        <v>3484</v>
      </c>
      <c r="N1430">
        <v>3</v>
      </c>
    </row>
    <row r="1431" spans="1:14" x14ac:dyDescent="0.25">
      <c r="A1431" s="3" t="str">
        <f>HYPERLINK("http://www.ncbi.nlm.nih.gov/gene/8547","8547")</f>
        <v>8547</v>
      </c>
      <c r="B1431" s="1" t="s">
        <v>3485</v>
      </c>
      <c r="C1431" t="s">
        <v>3486</v>
      </c>
      <c r="D1431">
        <v>137.5</v>
      </c>
      <c r="E1431">
        <v>143.9</v>
      </c>
      <c r="F1431">
        <v>100</v>
      </c>
      <c r="G1431">
        <v>100</v>
      </c>
      <c r="H1431">
        <v>118.6</v>
      </c>
      <c r="I1431">
        <v>121</v>
      </c>
      <c r="J1431">
        <v>100</v>
      </c>
      <c r="K1431">
        <v>100</v>
      </c>
      <c r="L1431" s="1" t="s">
        <v>3485</v>
      </c>
      <c r="M1431" t="s">
        <v>1097</v>
      </c>
      <c r="N1431">
        <v>3</v>
      </c>
    </row>
    <row r="1432" spans="1:14" x14ac:dyDescent="0.25">
      <c r="A1432" s="3" t="str">
        <f>HYPERLINK("http://www.ncbi.nlm.nih.gov/gene/197258","197258")</f>
        <v>197258</v>
      </c>
      <c r="B1432" s="1" t="s">
        <v>3487</v>
      </c>
      <c r="C1432" t="s">
        <v>3488</v>
      </c>
      <c r="D1432">
        <v>94.3</v>
      </c>
      <c r="E1432">
        <v>98.1</v>
      </c>
      <c r="F1432">
        <v>97.7</v>
      </c>
      <c r="G1432">
        <v>95.4</v>
      </c>
      <c r="H1432">
        <v>131.69999999999999</v>
      </c>
      <c r="I1432">
        <v>135.1</v>
      </c>
      <c r="J1432">
        <v>100</v>
      </c>
      <c r="K1432">
        <v>100</v>
      </c>
      <c r="L1432" s="1" t="s">
        <v>3487</v>
      </c>
      <c r="M1432" t="s">
        <v>116</v>
      </c>
      <c r="N1432">
        <v>3</v>
      </c>
    </row>
    <row r="1433" spans="1:14" x14ac:dyDescent="0.25">
      <c r="A1433" s="3" t="str">
        <f>HYPERLINK("http://www.ncbi.nlm.nih.gov/gene/260436","260436")</f>
        <v>260436</v>
      </c>
      <c r="B1433" s="1" t="s">
        <v>3489</v>
      </c>
      <c r="C1433" t="s">
        <v>3490</v>
      </c>
      <c r="D1433">
        <v>243.1</v>
      </c>
      <c r="E1433">
        <v>250.3</v>
      </c>
      <c r="F1433">
        <v>98.7</v>
      </c>
      <c r="G1433">
        <v>93.6</v>
      </c>
      <c r="H1433">
        <v>144.69999999999999</v>
      </c>
      <c r="I1433">
        <v>148.6</v>
      </c>
      <c r="J1433">
        <v>100</v>
      </c>
      <c r="K1433">
        <v>100</v>
      </c>
      <c r="L1433" s="1" t="s">
        <v>3489</v>
      </c>
      <c r="M1433" t="s">
        <v>661</v>
      </c>
      <c r="N1433">
        <v>2</v>
      </c>
    </row>
    <row r="1434" spans="1:14" x14ac:dyDescent="0.25">
      <c r="A1434" s="3" t="str">
        <f>HYPERLINK("http://www.ncbi.nlm.nih.gov/gene/2222","2222")</f>
        <v>2222</v>
      </c>
      <c r="B1434" s="1" t="s">
        <v>3491</v>
      </c>
      <c r="C1434" t="s">
        <v>3492</v>
      </c>
      <c r="D1434">
        <v>142.69999999999999</v>
      </c>
      <c r="E1434">
        <v>147.80000000000001</v>
      </c>
      <c r="F1434">
        <v>97.7</v>
      </c>
      <c r="G1434">
        <v>96</v>
      </c>
      <c r="H1434">
        <v>122.7</v>
      </c>
      <c r="I1434">
        <v>125.8</v>
      </c>
      <c r="J1434">
        <v>100</v>
      </c>
      <c r="K1434">
        <v>100</v>
      </c>
      <c r="L1434" s="1" t="s">
        <v>3491</v>
      </c>
      <c r="M1434" t="s">
        <v>38</v>
      </c>
      <c r="N1434">
        <v>4</v>
      </c>
    </row>
    <row r="1435" spans="1:14" x14ac:dyDescent="0.25">
      <c r="A1435" s="3" t="str">
        <f>HYPERLINK("http://www.ncbi.nlm.nih.gov/gene/2224","2224")</f>
        <v>2224</v>
      </c>
      <c r="B1435" s="1" t="s">
        <v>3493</v>
      </c>
      <c r="C1435" t="s">
        <v>3494</v>
      </c>
      <c r="D1435">
        <v>71.900000000000006</v>
      </c>
      <c r="E1435">
        <v>69.599999999999994</v>
      </c>
      <c r="F1435">
        <v>99.1</v>
      </c>
      <c r="G1435">
        <v>93.5</v>
      </c>
      <c r="H1435">
        <v>131.5</v>
      </c>
      <c r="I1435">
        <v>134.6</v>
      </c>
      <c r="J1435">
        <v>100</v>
      </c>
      <c r="K1435">
        <v>100</v>
      </c>
      <c r="L1435" s="1" t="s">
        <v>3493</v>
      </c>
      <c r="M1435" t="s">
        <v>29</v>
      </c>
      <c r="N1435">
        <v>2</v>
      </c>
    </row>
    <row r="1436" spans="1:14" x14ac:dyDescent="0.25">
      <c r="A1436" s="3" t="str">
        <f>HYPERLINK("http://www.ncbi.nlm.nih.gov/gene/112812","112812")</f>
        <v>112812</v>
      </c>
      <c r="B1436" s="1" t="s">
        <v>3495</v>
      </c>
      <c r="C1436" t="s">
        <v>3496</v>
      </c>
      <c r="D1436">
        <v>136.69999999999999</v>
      </c>
      <c r="E1436">
        <v>137.1</v>
      </c>
      <c r="F1436">
        <v>100</v>
      </c>
      <c r="G1436">
        <v>100</v>
      </c>
      <c r="H1436">
        <v>144.4</v>
      </c>
      <c r="I1436">
        <v>147.5</v>
      </c>
      <c r="J1436">
        <v>100</v>
      </c>
      <c r="K1436">
        <v>100</v>
      </c>
      <c r="L1436" s="1" t="s">
        <v>3495</v>
      </c>
      <c r="M1436" t="s">
        <v>766</v>
      </c>
      <c r="N1436">
        <v>3</v>
      </c>
    </row>
    <row r="1437" spans="1:14" x14ac:dyDescent="0.25">
      <c r="A1437" s="3" t="str">
        <f>HYPERLINK("http://www.ncbi.nlm.nih.gov/gene/2232","2232")</f>
        <v>2232</v>
      </c>
      <c r="B1437" s="1" t="s">
        <v>3497</v>
      </c>
      <c r="C1437" t="s">
        <v>3498</v>
      </c>
      <c r="D1437">
        <v>124</v>
      </c>
      <c r="E1437">
        <v>126.5</v>
      </c>
      <c r="F1437">
        <v>100</v>
      </c>
      <c r="G1437">
        <v>99.3</v>
      </c>
      <c r="H1437">
        <v>140.4</v>
      </c>
      <c r="I1437">
        <v>144.19999999999999</v>
      </c>
      <c r="J1437">
        <v>100</v>
      </c>
      <c r="K1437">
        <v>100</v>
      </c>
      <c r="L1437" s="1" t="s">
        <v>3497</v>
      </c>
      <c r="M1437" t="s">
        <v>1920</v>
      </c>
      <c r="N1437">
        <v>5</v>
      </c>
    </row>
    <row r="1438" spans="1:14" x14ac:dyDescent="0.25">
      <c r="A1438" s="3" t="str">
        <f>HYPERLINK("http://www.ncbi.nlm.nih.gov/gene/2235","2235")</f>
        <v>2235</v>
      </c>
      <c r="B1438" s="1" t="s">
        <v>3499</v>
      </c>
      <c r="C1438" t="s">
        <v>3500</v>
      </c>
      <c r="D1438">
        <v>116.4</v>
      </c>
      <c r="E1438">
        <v>120.3</v>
      </c>
      <c r="F1438">
        <v>100</v>
      </c>
      <c r="G1438">
        <v>100</v>
      </c>
      <c r="H1438">
        <v>137.1</v>
      </c>
      <c r="I1438">
        <v>140.9</v>
      </c>
      <c r="J1438">
        <v>100</v>
      </c>
      <c r="K1438">
        <v>100</v>
      </c>
      <c r="L1438" s="1" t="s">
        <v>3499</v>
      </c>
      <c r="M1438" t="s">
        <v>3501</v>
      </c>
      <c r="N1438">
        <v>6</v>
      </c>
    </row>
    <row r="1439" spans="1:14" x14ac:dyDescent="0.25">
      <c r="A1439" s="3" t="str">
        <f>HYPERLINK("http://www.ncbi.nlm.nih.gov/gene/55612","55612")</f>
        <v>55612</v>
      </c>
      <c r="B1439" s="1" t="s">
        <v>3502</v>
      </c>
      <c r="C1439" t="s">
        <v>3503</v>
      </c>
      <c r="D1439">
        <v>106.9</v>
      </c>
      <c r="E1439">
        <v>111.8</v>
      </c>
      <c r="F1439">
        <v>99.9</v>
      </c>
      <c r="G1439">
        <v>97.9</v>
      </c>
      <c r="H1439">
        <v>127.3</v>
      </c>
      <c r="I1439">
        <v>131.5</v>
      </c>
      <c r="J1439">
        <v>100</v>
      </c>
      <c r="K1439">
        <v>100</v>
      </c>
      <c r="L1439" s="1" t="s">
        <v>3502</v>
      </c>
      <c r="M1439" t="s">
        <v>246</v>
      </c>
      <c r="N1439">
        <v>3</v>
      </c>
    </row>
    <row r="1440" spans="1:14" x14ac:dyDescent="0.25">
      <c r="A1440" s="3" t="str">
        <f>HYPERLINK("http://www.ncbi.nlm.nih.gov/gene/83706","83706")</f>
        <v>83706</v>
      </c>
      <c r="B1440" s="1" t="s">
        <v>3504</v>
      </c>
      <c r="C1440" t="s">
        <v>3505</v>
      </c>
      <c r="D1440">
        <v>136.4</v>
      </c>
      <c r="E1440">
        <v>142.1</v>
      </c>
      <c r="F1440">
        <v>100</v>
      </c>
      <c r="G1440">
        <v>100</v>
      </c>
      <c r="H1440">
        <v>155.30000000000001</v>
      </c>
      <c r="I1440">
        <v>159.19999999999999</v>
      </c>
      <c r="J1440">
        <v>100</v>
      </c>
      <c r="K1440">
        <v>100</v>
      </c>
      <c r="L1440" s="1" t="s">
        <v>3504</v>
      </c>
      <c r="M1440" t="s">
        <v>3506</v>
      </c>
      <c r="N1440">
        <v>5</v>
      </c>
    </row>
    <row r="1441" spans="1:14" x14ac:dyDescent="0.25">
      <c r="A1441" s="3" t="str">
        <f>HYPERLINK("http://www.ncbi.nlm.nih.gov/gene/389549","389549")</f>
        <v>389549</v>
      </c>
      <c r="B1441" s="1" t="s">
        <v>3507</v>
      </c>
      <c r="C1441" t="s">
        <v>3508</v>
      </c>
      <c r="D1441">
        <v>167.2</v>
      </c>
      <c r="E1441">
        <v>172.6</v>
      </c>
      <c r="F1441">
        <v>100</v>
      </c>
      <c r="G1441">
        <v>99.9</v>
      </c>
      <c r="H1441">
        <v>163.5</v>
      </c>
      <c r="I1441">
        <v>166</v>
      </c>
      <c r="J1441">
        <v>100</v>
      </c>
      <c r="K1441">
        <v>100</v>
      </c>
      <c r="L1441" s="1" t="s">
        <v>3507</v>
      </c>
      <c r="M1441" t="s">
        <v>3509</v>
      </c>
      <c r="N1441">
        <v>4</v>
      </c>
    </row>
    <row r="1442" spans="1:14" x14ac:dyDescent="0.25">
      <c r="A1442" s="3" t="str">
        <f>HYPERLINK("http://www.ncbi.nlm.nih.gov/gene/2243","2243")</f>
        <v>2243</v>
      </c>
      <c r="B1442" s="1" t="s">
        <v>3510</v>
      </c>
      <c r="C1442" t="s">
        <v>3511</v>
      </c>
      <c r="D1442">
        <v>188.3</v>
      </c>
      <c r="E1442">
        <v>169.3</v>
      </c>
      <c r="F1442">
        <v>99.1</v>
      </c>
      <c r="G1442">
        <v>97.2</v>
      </c>
      <c r="H1442">
        <v>158.69999999999999</v>
      </c>
      <c r="I1442">
        <v>160.80000000000001</v>
      </c>
      <c r="J1442">
        <v>100</v>
      </c>
      <c r="K1442">
        <v>100</v>
      </c>
      <c r="L1442" s="1" t="s">
        <v>3510</v>
      </c>
      <c r="M1442" t="s">
        <v>3340</v>
      </c>
      <c r="N1442">
        <v>3</v>
      </c>
    </row>
    <row r="1443" spans="1:14" x14ac:dyDescent="0.25">
      <c r="A1443" s="3" t="str">
        <f>HYPERLINK("http://www.ncbi.nlm.nih.gov/gene/2244","2244")</f>
        <v>2244</v>
      </c>
      <c r="B1443" s="1" t="s">
        <v>3512</v>
      </c>
      <c r="C1443" t="s">
        <v>3513</v>
      </c>
      <c r="D1443">
        <v>157.80000000000001</v>
      </c>
      <c r="E1443">
        <v>165</v>
      </c>
      <c r="F1443">
        <v>99.8</v>
      </c>
      <c r="G1443">
        <v>99.1</v>
      </c>
      <c r="H1443">
        <v>145.6</v>
      </c>
      <c r="I1443">
        <v>150.4</v>
      </c>
      <c r="J1443">
        <v>100</v>
      </c>
      <c r="K1443">
        <v>100</v>
      </c>
      <c r="L1443" s="1" t="s">
        <v>3512</v>
      </c>
      <c r="M1443" t="s">
        <v>3340</v>
      </c>
      <c r="N1443">
        <v>3</v>
      </c>
    </row>
    <row r="1444" spans="1:14" x14ac:dyDescent="0.25">
      <c r="A1444" s="3" t="str">
        <f>HYPERLINK("http://www.ncbi.nlm.nih.gov/gene/2245","2245")</f>
        <v>2245</v>
      </c>
      <c r="B1444" s="1" t="s">
        <v>3514</v>
      </c>
      <c r="C1444" t="s">
        <v>3515</v>
      </c>
      <c r="D1444">
        <v>88.5</v>
      </c>
      <c r="E1444">
        <v>91.2</v>
      </c>
      <c r="F1444">
        <v>97.3</v>
      </c>
      <c r="G1444">
        <v>92.8</v>
      </c>
      <c r="H1444">
        <v>141.19999999999999</v>
      </c>
      <c r="I1444">
        <v>144.6</v>
      </c>
      <c r="J1444">
        <v>100</v>
      </c>
      <c r="K1444">
        <v>100</v>
      </c>
      <c r="L1444" s="1" t="s">
        <v>3514</v>
      </c>
      <c r="M1444" t="s">
        <v>3516</v>
      </c>
      <c r="N1444">
        <v>6</v>
      </c>
    </row>
    <row r="1445" spans="1:14" x14ac:dyDescent="0.25">
      <c r="A1445" s="3" t="str">
        <f>HYPERLINK("http://www.ncbi.nlm.nih.gov/gene/121512","121512")</f>
        <v>121512</v>
      </c>
      <c r="B1445" s="1" t="s">
        <v>3517</v>
      </c>
      <c r="C1445" t="s">
        <v>3518</v>
      </c>
      <c r="D1445">
        <v>116</v>
      </c>
      <c r="E1445">
        <v>120.6</v>
      </c>
      <c r="F1445">
        <v>99.9</v>
      </c>
      <c r="G1445">
        <v>99.4</v>
      </c>
      <c r="H1445">
        <v>137</v>
      </c>
      <c r="I1445">
        <v>140.80000000000001</v>
      </c>
      <c r="J1445">
        <v>100</v>
      </c>
      <c r="K1445">
        <v>100</v>
      </c>
      <c r="L1445" s="1" t="s">
        <v>3517</v>
      </c>
      <c r="M1445" t="s">
        <v>44</v>
      </c>
      <c r="N1445">
        <v>3</v>
      </c>
    </row>
    <row r="1446" spans="1:14" x14ac:dyDescent="0.25">
      <c r="A1446" s="3" t="str">
        <f>HYPERLINK("http://www.ncbi.nlm.nih.gov/gene/2255","2255")</f>
        <v>2255</v>
      </c>
      <c r="B1446" s="1" t="s">
        <v>3519</v>
      </c>
      <c r="D1446">
        <v>145.6</v>
      </c>
      <c r="E1446">
        <v>155.30000000000001</v>
      </c>
      <c r="F1446">
        <v>100</v>
      </c>
      <c r="G1446">
        <v>99.8</v>
      </c>
      <c r="H1446">
        <v>132.6</v>
      </c>
      <c r="I1446">
        <v>136.19999999999999</v>
      </c>
      <c r="J1446">
        <v>100</v>
      </c>
      <c r="K1446">
        <v>100</v>
      </c>
      <c r="L1446" s="1" t="s">
        <v>3519</v>
      </c>
      <c r="M1446" t="s">
        <v>2725</v>
      </c>
      <c r="N1446">
        <v>4</v>
      </c>
    </row>
    <row r="1447" spans="1:14" x14ac:dyDescent="0.25">
      <c r="A1447" s="3" t="str">
        <f>HYPERLINK("http://www.ncbi.nlm.nih.gov/gene/2257","2257")</f>
        <v>2257</v>
      </c>
      <c r="B1447" s="1" t="s">
        <v>3520</v>
      </c>
      <c r="C1447" t="s">
        <v>3521</v>
      </c>
      <c r="D1447">
        <v>118.7</v>
      </c>
      <c r="E1447">
        <v>124.7</v>
      </c>
      <c r="F1447">
        <v>99.9</v>
      </c>
      <c r="G1447">
        <v>98.1</v>
      </c>
      <c r="H1447">
        <v>148.19999999999999</v>
      </c>
      <c r="I1447">
        <v>152.6</v>
      </c>
      <c r="J1447">
        <v>100</v>
      </c>
      <c r="K1447">
        <v>100</v>
      </c>
      <c r="L1447" s="1" t="s">
        <v>3520</v>
      </c>
      <c r="M1447" t="s">
        <v>3522</v>
      </c>
      <c r="N1447">
        <v>4</v>
      </c>
    </row>
    <row r="1448" spans="1:14" x14ac:dyDescent="0.25">
      <c r="A1448" s="3" t="str">
        <f>HYPERLINK("http://www.ncbi.nlm.nih.gov/gene/2259","2259")</f>
        <v>2259</v>
      </c>
      <c r="B1448" s="1" t="s">
        <v>3523</v>
      </c>
      <c r="C1448" t="s">
        <v>3524</v>
      </c>
      <c r="D1448">
        <v>218</v>
      </c>
      <c r="E1448">
        <v>225.7</v>
      </c>
      <c r="F1448">
        <v>100</v>
      </c>
      <c r="G1448">
        <v>100</v>
      </c>
      <c r="H1448">
        <v>149.4</v>
      </c>
      <c r="I1448">
        <v>155.80000000000001</v>
      </c>
      <c r="J1448">
        <v>100</v>
      </c>
      <c r="K1448">
        <v>100</v>
      </c>
      <c r="L1448" s="1" t="s">
        <v>3523</v>
      </c>
      <c r="M1448" t="s">
        <v>1357</v>
      </c>
      <c r="N1448">
        <v>3</v>
      </c>
    </row>
    <row r="1449" spans="1:14" x14ac:dyDescent="0.25">
      <c r="A1449" s="3" t="str">
        <f>HYPERLINK("http://www.ncbi.nlm.nih.gov/gene/8823","8823")</f>
        <v>8823</v>
      </c>
      <c r="B1449" s="1" t="s">
        <v>3525</v>
      </c>
      <c r="C1449" t="s">
        <v>3526</v>
      </c>
      <c r="D1449">
        <v>128.6</v>
      </c>
      <c r="E1449">
        <v>134.80000000000001</v>
      </c>
      <c r="F1449">
        <v>100</v>
      </c>
      <c r="G1449">
        <v>99.8</v>
      </c>
      <c r="H1449">
        <v>99.6</v>
      </c>
      <c r="I1449">
        <v>104.1</v>
      </c>
      <c r="J1449">
        <v>100</v>
      </c>
      <c r="K1449">
        <v>100</v>
      </c>
      <c r="L1449" s="1" t="s">
        <v>3525</v>
      </c>
      <c r="M1449" t="s">
        <v>868</v>
      </c>
      <c r="N1449">
        <v>1</v>
      </c>
    </row>
    <row r="1450" spans="1:14" x14ac:dyDescent="0.25">
      <c r="A1450" s="3" t="str">
        <f>HYPERLINK("http://www.ncbi.nlm.nih.gov/gene/8822","8822")</f>
        <v>8822</v>
      </c>
      <c r="B1450" s="1" t="s">
        <v>3527</v>
      </c>
      <c r="C1450" t="s">
        <v>3528</v>
      </c>
      <c r="D1450">
        <v>143.5</v>
      </c>
      <c r="E1450">
        <v>150.4</v>
      </c>
      <c r="F1450">
        <v>100</v>
      </c>
      <c r="G1450">
        <v>100</v>
      </c>
      <c r="H1450">
        <v>144.30000000000001</v>
      </c>
      <c r="I1450">
        <v>148.19999999999999</v>
      </c>
      <c r="J1450">
        <v>100</v>
      </c>
      <c r="K1450">
        <v>100</v>
      </c>
      <c r="L1450" s="1" t="s">
        <v>3527</v>
      </c>
      <c r="M1450" t="s">
        <v>1011</v>
      </c>
      <c r="N1450">
        <v>3</v>
      </c>
    </row>
    <row r="1451" spans="1:14" x14ac:dyDescent="0.25">
      <c r="A1451" s="3" t="str">
        <f>HYPERLINK("http://www.ncbi.nlm.nih.gov/gene/26281","26281")</f>
        <v>26281</v>
      </c>
      <c r="B1451" s="1" t="s">
        <v>3529</v>
      </c>
      <c r="C1451" t="s">
        <v>3530</v>
      </c>
      <c r="D1451">
        <v>152.30000000000001</v>
      </c>
      <c r="E1451">
        <v>153.80000000000001</v>
      </c>
      <c r="F1451">
        <v>97.5</v>
      </c>
      <c r="G1451">
        <v>87.6</v>
      </c>
      <c r="H1451">
        <v>136.4</v>
      </c>
      <c r="I1451">
        <v>127.3</v>
      </c>
      <c r="J1451">
        <v>100</v>
      </c>
      <c r="K1451">
        <v>100</v>
      </c>
      <c r="L1451" s="1" t="s">
        <v>3529</v>
      </c>
      <c r="M1451" t="s">
        <v>53</v>
      </c>
      <c r="N1451">
        <v>2</v>
      </c>
    </row>
    <row r="1452" spans="1:14" x14ac:dyDescent="0.25">
      <c r="A1452" s="3" t="str">
        <f>HYPERLINK("http://www.ncbi.nlm.nih.gov/gene/8074","8074")</f>
        <v>8074</v>
      </c>
      <c r="B1452" s="1" t="s">
        <v>3531</v>
      </c>
      <c r="C1452" t="s">
        <v>3532</v>
      </c>
      <c r="D1452">
        <v>129.19999999999999</v>
      </c>
      <c r="E1452">
        <v>130.1</v>
      </c>
      <c r="F1452">
        <v>99.6</v>
      </c>
      <c r="G1452">
        <v>97.5</v>
      </c>
      <c r="H1452">
        <v>149.4</v>
      </c>
      <c r="I1452">
        <v>150.19999999999999</v>
      </c>
      <c r="J1452">
        <v>100</v>
      </c>
      <c r="K1452">
        <v>100</v>
      </c>
      <c r="L1452" s="1" t="s">
        <v>3531</v>
      </c>
      <c r="M1452" t="s">
        <v>3533</v>
      </c>
      <c r="N1452">
        <v>5</v>
      </c>
    </row>
    <row r="1453" spans="1:14" x14ac:dyDescent="0.25">
      <c r="A1453" s="3" t="str">
        <f>HYPERLINK("http://www.ncbi.nlm.nih.gov/gene/2248","2248")</f>
        <v>2248</v>
      </c>
      <c r="B1453" s="1" t="s">
        <v>3534</v>
      </c>
      <c r="C1453" t="s">
        <v>3535</v>
      </c>
      <c r="D1453">
        <v>110</v>
      </c>
      <c r="E1453">
        <v>110.3</v>
      </c>
      <c r="F1453">
        <v>99.8</v>
      </c>
      <c r="G1453">
        <v>95.1</v>
      </c>
      <c r="H1453">
        <v>139.6</v>
      </c>
      <c r="I1453">
        <v>142.80000000000001</v>
      </c>
      <c r="J1453">
        <v>100</v>
      </c>
      <c r="K1453">
        <v>100</v>
      </c>
      <c r="L1453" s="1" t="s">
        <v>3534</v>
      </c>
      <c r="M1453" t="s">
        <v>3536</v>
      </c>
      <c r="N1453">
        <v>5</v>
      </c>
    </row>
    <row r="1454" spans="1:14" x14ac:dyDescent="0.25">
      <c r="A1454" s="3" t="str">
        <f>HYPERLINK("http://www.ncbi.nlm.nih.gov/gene/2250","2250")</f>
        <v>2250</v>
      </c>
      <c r="B1454" s="1" t="s">
        <v>3537</v>
      </c>
      <c r="C1454" t="s">
        <v>3538</v>
      </c>
      <c r="D1454">
        <v>183.9</v>
      </c>
      <c r="E1454">
        <v>182.1</v>
      </c>
      <c r="F1454">
        <v>100</v>
      </c>
      <c r="G1454">
        <v>100</v>
      </c>
      <c r="H1454">
        <v>151.1</v>
      </c>
      <c r="I1454">
        <v>156.5</v>
      </c>
      <c r="J1454">
        <v>100</v>
      </c>
      <c r="K1454">
        <v>100</v>
      </c>
      <c r="L1454" s="1" t="s">
        <v>3537</v>
      </c>
      <c r="M1454" t="s">
        <v>47</v>
      </c>
      <c r="N1454">
        <v>2</v>
      </c>
    </row>
    <row r="1455" spans="1:14" x14ac:dyDescent="0.25">
      <c r="A1455" s="3" t="str">
        <f>HYPERLINK("http://www.ncbi.nlm.nih.gov/gene/2253","2253")</f>
        <v>2253</v>
      </c>
      <c r="B1455" s="1" t="s">
        <v>3539</v>
      </c>
      <c r="C1455" t="s">
        <v>3540</v>
      </c>
      <c r="D1455">
        <v>122.3</v>
      </c>
      <c r="E1455">
        <v>127.7</v>
      </c>
      <c r="F1455">
        <v>98.2</v>
      </c>
      <c r="G1455">
        <v>88.9</v>
      </c>
      <c r="H1455">
        <v>135.19999999999999</v>
      </c>
      <c r="I1455">
        <v>139.30000000000001</v>
      </c>
      <c r="J1455">
        <v>100</v>
      </c>
      <c r="K1455">
        <v>99.6</v>
      </c>
      <c r="L1455" s="1" t="s">
        <v>3539</v>
      </c>
      <c r="M1455" t="s">
        <v>3541</v>
      </c>
      <c r="N1455">
        <v>7</v>
      </c>
    </row>
    <row r="1456" spans="1:14" x14ac:dyDescent="0.25">
      <c r="A1456" s="3" t="str">
        <f>HYPERLINK("http://www.ncbi.nlm.nih.gov/gene/2254","2254")</f>
        <v>2254</v>
      </c>
      <c r="B1456" s="1" t="s">
        <v>3542</v>
      </c>
      <c r="C1456" t="s">
        <v>3543</v>
      </c>
      <c r="D1456">
        <v>200.8</v>
      </c>
      <c r="E1456">
        <v>225.5</v>
      </c>
      <c r="F1456">
        <v>100</v>
      </c>
      <c r="G1456">
        <v>100</v>
      </c>
      <c r="H1456">
        <v>124.6</v>
      </c>
      <c r="I1456">
        <v>129.80000000000001</v>
      </c>
      <c r="J1456">
        <v>100</v>
      </c>
      <c r="K1456">
        <v>100</v>
      </c>
      <c r="L1456" s="1" t="s">
        <v>3542</v>
      </c>
      <c r="M1456" t="s">
        <v>3241</v>
      </c>
      <c r="N1456">
        <v>3</v>
      </c>
    </row>
    <row r="1457" spans="1:14" x14ac:dyDescent="0.25">
      <c r="A1457" s="3" t="str">
        <f>HYPERLINK("http://www.ncbi.nlm.nih.gov/gene/2260","2260")</f>
        <v>2260</v>
      </c>
      <c r="B1457" s="1" t="s">
        <v>3544</v>
      </c>
      <c r="C1457" t="s">
        <v>3545</v>
      </c>
      <c r="D1457">
        <v>133.19999999999999</v>
      </c>
      <c r="E1457">
        <v>137.69999999999999</v>
      </c>
      <c r="F1457">
        <v>100</v>
      </c>
      <c r="G1457">
        <v>99.9</v>
      </c>
      <c r="H1457">
        <v>154.5</v>
      </c>
      <c r="I1457">
        <v>159</v>
      </c>
      <c r="J1457">
        <v>100</v>
      </c>
      <c r="K1457">
        <v>100</v>
      </c>
      <c r="L1457" s="1" t="s">
        <v>3544</v>
      </c>
      <c r="M1457" t="s">
        <v>3546</v>
      </c>
      <c r="N1457">
        <v>8</v>
      </c>
    </row>
    <row r="1458" spans="1:14" x14ac:dyDescent="0.25">
      <c r="A1458" s="3" t="str">
        <f>HYPERLINK("http://www.ncbi.nlm.nih.gov/gene/2263","2263")</f>
        <v>2263</v>
      </c>
      <c r="B1458" s="1" t="s">
        <v>3547</v>
      </c>
      <c r="C1458" t="s">
        <v>3548</v>
      </c>
      <c r="D1458">
        <v>129.80000000000001</v>
      </c>
      <c r="E1458">
        <v>134.1</v>
      </c>
      <c r="F1458">
        <v>97.7</v>
      </c>
      <c r="G1458">
        <v>97.1</v>
      </c>
      <c r="H1458">
        <v>148.5</v>
      </c>
      <c r="I1458">
        <v>153.19999999999999</v>
      </c>
      <c r="J1458">
        <v>100</v>
      </c>
      <c r="K1458">
        <v>100</v>
      </c>
      <c r="L1458" s="1" t="s">
        <v>3547</v>
      </c>
      <c r="M1458" t="s">
        <v>3549</v>
      </c>
      <c r="N1458">
        <v>7</v>
      </c>
    </row>
    <row r="1459" spans="1:14" x14ac:dyDescent="0.25">
      <c r="A1459" s="3" t="str">
        <f>HYPERLINK("http://www.ncbi.nlm.nih.gov/gene/2261","2261")</f>
        <v>2261</v>
      </c>
      <c r="B1459" s="1" t="s">
        <v>3550</v>
      </c>
      <c r="C1459" t="s">
        <v>3551</v>
      </c>
      <c r="D1459">
        <v>119.9</v>
      </c>
      <c r="E1459">
        <v>122.6</v>
      </c>
      <c r="F1459">
        <v>99.8</v>
      </c>
      <c r="G1459">
        <v>97.7</v>
      </c>
      <c r="H1459">
        <v>154.80000000000001</v>
      </c>
      <c r="I1459">
        <v>159.30000000000001</v>
      </c>
      <c r="J1459">
        <v>100</v>
      </c>
      <c r="K1459">
        <v>99.8</v>
      </c>
      <c r="L1459" s="1" t="s">
        <v>3550</v>
      </c>
      <c r="M1459" t="s">
        <v>3552</v>
      </c>
      <c r="N1459">
        <v>6</v>
      </c>
    </row>
    <row r="1460" spans="1:14" x14ac:dyDescent="0.25">
      <c r="A1460" s="3" t="str">
        <f>HYPERLINK("http://www.ncbi.nlm.nih.gov/gene/2266","2266")</f>
        <v>2266</v>
      </c>
      <c r="B1460" s="1" t="s">
        <v>3553</v>
      </c>
      <c r="D1460">
        <v>164.8</v>
      </c>
      <c r="E1460">
        <v>175.8</v>
      </c>
      <c r="F1460">
        <v>99.7</v>
      </c>
      <c r="G1460">
        <v>98.2</v>
      </c>
      <c r="H1460">
        <v>143</v>
      </c>
      <c r="I1460">
        <v>147.4</v>
      </c>
      <c r="J1460">
        <v>100</v>
      </c>
      <c r="K1460">
        <v>100</v>
      </c>
      <c r="L1460" s="1" t="s">
        <v>3553</v>
      </c>
      <c r="M1460" t="s">
        <v>3345</v>
      </c>
      <c r="N1460">
        <v>3</v>
      </c>
    </row>
    <row r="1461" spans="1:14" x14ac:dyDescent="0.25">
      <c r="A1461" s="3" t="str">
        <f>HYPERLINK("http://www.ncbi.nlm.nih.gov/gene/2271","2271")</f>
        <v>2271</v>
      </c>
      <c r="B1461" s="1" t="s">
        <v>3554</v>
      </c>
      <c r="C1461" t="s">
        <v>3555</v>
      </c>
      <c r="D1461">
        <v>140.4</v>
      </c>
      <c r="E1461">
        <v>147</v>
      </c>
      <c r="F1461">
        <v>92.1</v>
      </c>
      <c r="G1461">
        <v>88.3</v>
      </c>
      <c r="H1461">
        <v>138</v>
      </c>
      <c r="I1461">
        <v>142.4</v>
      </c>
      <c r="J1461">
        <v>100</v>
      </c>
      <c r="K1461">
        <v>100</v>
      </c>
      <c r="L1461" s="1" t="s">
        <v>3554</v>
      </c>
      <c r="M1461" t="s">
        <v>3556</v>
      </c>
      <c r="N1461">
        <v>8</v>
      </c>
    </row>
    <row r="1462" spans="1:14" x14ac:dyDescent="0.25">
      <c r="A1462" s="3" t="str">
        <f>HYPERLINK("http://www.ncbi.nlm.nih.gov/gene/2273","2273")</f>
        <v>2273</v>
      </c>
      <c r="B1462" s="1" t="s">
        <v>3557</v>
      </c>
      <c r="C1462" t="s">
        <v>3558</v>
      </c>
      <c r="D1462">
        <v>63.5</v>
      </c>
      <c r="E1462">
        <v>67</v>
      </c>
      <c r="F1462">
        <v>99.7</v>
      </c>
      <c r="G1462">
        <v>95.8</v>
      </c>
      <c r="H1462">
        <v>149.1</v>
      </c>
      <c r="I1462">
        <v>154.1</v>
      </c>
      <c r="J1462">
        <v>100</v>
      </c>
      <c r="K1462">
        <v>100</v>
      </c>
      <c r="L1462" s="1" t="s">
        <v>3557</v>
      </c>
      <c r="M1462" t="s">
        <v>3559</v>
      </c>
      <c r="N1462">
        <v>3</v>
      </c>
    </row>
    <row r="1463" spans="1:14" x14ac:dyDescent="0.25">
      <c r="A1463" s="3" t="str">
        <f>HYPERLINK("http://www.ncbi.nlm.nih.gov/gene/2274","2274")</f>
        <v>2274</v>
      </c>
      <c r="B1463" s="1" t="s">
        <v>3560</v>
      </c>
      <c r="C1463" t="s">
        <v>3561</v>
      </c>
      <c r="D1463">
        <v>128.30000000000001</v>
      </c>
      <c r="E1463">
        <v>133.80000000000001</v>
      </c>
      <c r="F1463">
        <v>99.9</v>
      </c>
      <c r="G1463">
        <v>98.7</v>
      </c>
      <c r="H1463">
        <v>139.30000000000001</v>
      </c>
      <c r="I1463">
        <v>143.69999999999999</v>
      </c>
      <c r="J1463">
        <v>100</v>
      </c>
      <c r="K1463">
        <v>100</v>
      </c>
      <c r="L1463" s="1" t="s">
        <v>3560</v>
      </c>
      <c r="M1463" t="s">
        <v>197</v>
      </c>
      <c r="N1463">
        <v>2</v>
      </c>
    </row>
    <row r="1464" spans="1:14" x14ac:dyDescent="0.25">
      <c r="A1464" s="3" t="str">
        <f>HYPERLINK("http://www.ncbi.nlm.nih.gov/gene/80206","80206")</f>
        <v>80206</v>
      </c>
      <c r="B1464" s="1" t="s">
        <v>3562</v>
      </c>
      <c r="C1464" t="s">
        <v>3563</v>
      </c>
      <c r="D1464">
        <v>147.30000000000001</v>
      </c>
      <c r="E1464">
        <v>151.4</v>
      </c>
      <c r="F1464">
        <v>100</v>
      </c>
      <c r="G1464">
        <v>99.6</v>
      </c>
      <c r="H1464">
        <v>141.19999999999999</v>
      </c>
      <c r="I1464">
        <v>145.19999999999999</v>
      </c>
      <c r="J1464">
        <v>100</v>
      </c>
      <c r="K1464">
        <v>100</v>
      </c>
      <c r="L1464" s="1" t="s">
        <v>3562</v>
      </c>
      <c r="M1464" t="s">
        <v>197</v>
      </c>
      <c r="N1464">
        <v>2</v>
      </c>
    </row>
    <row r="1465" spans="1:14" x14ac:dyDescent="0.25">
      <c r="A1465" s="3" t="str">
        <f>HYPERLINK("http://www.ncbi.nlm.nih.gov/gene/9158","9158")</f>
        <v>9158</v>
      </c>
      <c r="B1465" s="1" t="s">
        <v>3564</v>
      </c>
      <c r="C1465" t="s">
        <v>3565</v>
      </c>
      <c r="D1465">
        <v>138.6</v>
      </c>
      <c r="E1465">
        <v>143.5</v>
      </c>
      <c r="F1465">
        <v>100</v>
      </c>
      <c r="G1465">
        <v>100</v>
      </c>
      <c r="H1465">
        <v>138.80000000000001</v>
      </c>
      <c r="I1465">
        <v>143.1</v>
      </c>
      <c r="J1465">
        <v>100</v>
      </c>
      <c r="K1465">
        <v>100</v>
      </c>
      <c r="L1465" s="1" t="s">
        <v>3564</v>
      </c>
      <c r="M1465" t="s">
        <v>228</v>
      </c>
      <c r="N1465">
        <v>3</v>
      </c>
    </row>
    <row r="1466" spans="1:14" x14ac:dyDescent="0.25">
      <c r="A1466" s="3" t="str">
        <f>HYPERLINK("http://www.ncbi.nlm.nih.gov/gene/9896","9896")</f>
        <v>9896</v>
      </c>
      <c r="B1466" s="1" t="s">
        <v>3566</v>
      </c>
      <c r="C1466" t="s">
        <v>3567</v>
      </c>
      <c r="D1466">
        <v>183.9</v>
      </c>
      <c r="E1466">
        <v>190.3</v>
      </c>
      <c r="F1466">
        <v>100</v>
      </c>
      <c r="G1466">
        <v>99.8</v>
      </c>
      <c r="H1466">
        <v>137.5</v>
      </c>
      <c r="I1466">
        <v>141.1</v>
      </c>
      <c r="J1466">
        <v>100</v>
      </c>
      <c r="K1466">
        <v>100</v>
      </c>
      <c r="L1466" s="1" t="s">
        <v>3566</v>
      </c>
      <c r="M1466" t="s">
        <v>3568</v>
      </c>
      <c r="N1466">
        <v>5</v>
      </c>
    </row>
    <row r="1467" spans="1:14" x14ac:dyDescent="0.25">
      <c r="A1467" s="3" t="str">
        <f>HYPERLINK("http://www.ncbi.nlm.nih.gov/gene/344018","344018")</f>
        <v>344018</v>
      </c>
      <c r="B1467" s="1" t="s">
        <v>3569</v>
      </c>
      <c r="C1467" t="s">
        <v>3570</v>
      </c>
      <c r="D1467">
        <v>92.9</v>
      </c>
      <c r="E1467">
        <v>96</v>
      </c>
      <c r="F1467">
        <v>99.7</v>
      </c>
      <c r="G1467">
        <v>96</v>
      </c>
      <c r="H1467">
        <v>156.30000000000001</v>
      </c>
      <c r="I1467">
        <v>162.4</v>
      </c>
      <c r="J1467">
        <v>100</v>
      </c>
      <c r="K1467">
        <v>100</v>
      </c>
      <c r="L1467" s="1" t="s">
        <v>3569</v>
      </c>
      <c r="M1467" t="s">
        <v>285</v>
      </c>
      <c r="N1467">
        <v>1</v>
      </c>
    </row>
    <row r="1468" spans="1:14" x14ac:dyDescent="0.25">
      <c r="A1468" s="3" t="str">
        <f>HYPERLINK("http://www.ncbi.nlm.nih.gov/gene/55137","55137")</f>
        <v>55137</v>
      </c>
      <c r="B1468" s="1" t="s">
        <v>3571</v>
      </c>
      <c r="D1468">
        <v>169.1</v>
      </c>
      <c r="E1468">
        <v>150.19999999999999</v>
      </c>
      <c r="F1468">
        <v>100</v>
      </c>
      <c r="G1468">
        <v>100</v>
      </c>
      <c r="H1468">
        <v>168.6</v>
      </c>
      <c r="I1468">
        <v>166.1</v>
      </c>
      <c r="J1468">
        <v>100</v>
      </c>
      <c r="K1468">
        <v>100</v>
      </c>
      <c r="L1468" s="1" t="s">
        <v>3571</v>
      </c>
      <c r="M1468" t="s">
        <v>189</v>
      </c>
      <c r="N1468">
        <v>2</v>
      </c>
    </row>
    <row r="1469" spans="1:14" x14ac:dyDescent="0.25">
      <c r="A1469" s="3" t="str">
        <f>HYPERLINK("http://www.ncbi.nlm.nih.gov/gene/128486","128486")</f>
        <v>128486</v>
      </c>
      <c r="B1469" s="1" t="s">
        <v>3572</v>
      </c>
      <c r="C1469" t="s">
        <v>3573</v>
      </c>
      <c r="D1469">
        <v>159</v>
      </c>
      <c r="E1469">
        <v>160.1</v>
      </c>
      <c r="F1469">
        <v>100</v>
      </c>
      <c r="G1469">
        <v>100</v>
      </c>
      <c r="H1469">
        <v>144.30000000000001</v>
      </c>
      <c r="I1469">
        <v>153.80000000000001</v>
      </c>
      <c r="J1469">
        <v>100</v>
      </c>
      <c r="K1469">
        <v>100</v>
      </c>
      <c r="L1469" s="1" t="s">
        <v>3572</v>
      </c>
      <c r="M1469" t="s">
        <v>269</v>
      </c>
      <c r="N1469">
        <v>3</v>
      </c>
    </row>
    <row r="1470" spans="1:14" x14ac:dyDescent="0.25">
      <c r="A1470" s="3" t="str">
        <f>HYPERLINK("http://www.ncbi.nlm.nih.gov/gene/60681","60681")</f>
        <v>60681</v>
      </c>
      <c r="B1470" s="1" t="s">
        <v>3574</v>
      </c>
      <c r="C1470" t="s">
        <v>3575</v>
      </c>
      <c r="D1470">
        <v>170.2</v>
      </c>
      <c r="E1470">
        <v>177.4</v>
      </c>
      <c r="F1470">
        <v>98.8</v>
      </c>
      <c r="G1470">
        <v>97.2</v>
      </c>
      <c r="H1470">
        <v>141.30000000000001</v>
      </c>
      <c r="I1470">
        <v>146.4</v>
      </c>
      <c r="J1470">
        <v>100</v>
      </c>
      <c r="K1470">
        <v>100</v>
      </c>
      <c r="L1470" s="1" t="s">
        <v>3574</v>
      </c>
      <c r="M1470" t="s">
        <v>239</v>
      </c>
      <c r="N1470">
        <v>4</v>
      </c>
    </row>
    <row r="1471" spans="1:14" x14ac:dyDescent="0.25">
      <c r="A1471" s="3" t="str">
        <f>HYPERLINK("http://www.ncbi.nlm.nih.gov/gene/55033","55033")</f>
        <v>55033</v>
      </c>
      <c r="B1471" s="1" t="s">
        <v>3576</v>
      </c>
      <c r="C1471" t="s">
        <v>3577</v>
      </c>
      <c r="D1471">
        <v>96.9</v>
      </c>
      <c r="E1471">
        <v>102.2</v>
      </c>
      <c r="F1471">
        <v>100</v>
      </c>
      <c r="G1471">
        <v>99.9</v>
      </c>
      <c r="H1471">
        <v>146.9</v>
      </c>
      <c r="I1471">
        <v>152.19999999999999</v>
      </c>
      <c r="J1471">
        <v>100</v>
      </c>
      <c r="K1471">
        <v>100</v>
      </c>
      <c r="L1471" s="1" t="s">
        <v>3576</v>
      </c>
      <c r="M1471" t="s">
        <v>3578</v>
      </c>
      <c r="N1471">
        <v>5</v>
      </c>
    </row>
    <row r="1472" spans="1:14" x14ac:dyDescent="0.25">
      <c r="A1472" s="3" t="str">
        <f>HYPERLINK("http://www.ncbi.nlm.nih.gov/gene/79147","79147")</f>
        <v>79147</v>
      </c>
      <c r="B1472" s="1" t="s">
        <v>3579</v>
      </c>
      <c r="C1472" t="s">
        <v>3580</v>
      </c>
      <c r="D1472">
        <v>122.1</v>
      </c>
      <c r="E1472">
        <v>124.4</v>
      </c>
      <c r="F1472">
        <v>100</v>
      </c>
      <c r="G1472">
        <v>100</v>
      </c>
      <c r="H1472">
        <v>145.80000000000001</v>
      </c>
      <c r="I1472">
        <v>154.1</v>
      </c>
      <c r="J1472">
        <v>100</v>
      </c>
      <c r="K1472">
        <v>99.9</v>
      </c>
      <c r="L1472" s="1" t="s">
        <v>3579</v>
      </c>
      <c r="M1472" t="s">
        <v>3581</v>
      </c>
      <c r="N1472">
        <v>7</v>
      </c>
    </row>
    <row r="1473" spans="1:14" x14ac:dyDescent="0.25">
      <c r="A1473" s="3" t="str">
        <f>HYPERLINK("http://www.ncbi.nlm.nih.gov/gene/2218","2218")</f>
        <v>2218</v>
      </c>
      <c r="B1473" s="1" t="s">
        <v>3582</v>
      </c>
      <c r="C1473" t="s">
        <v>3583</v>
      </c>
      <c r="D1473">
        <v>123.6</v>
      </c>
      <c r="E1473">
        <v>128.6</v>
      </c>
      <c r="F1473">
        <v>99.7</v>
      </c>
      <c r="G1473">
        <v>97</v>
      </c>
      <c r="H1473">
        <v>131</v>
      </c>
      <c r="I1473">
        <v>135</v>
      </c>
      <c r="J1473">
        <v>100</v>
      </c>
      <c r="K1473">
        <v>100</v>
      </c>
      <c r="L1473" s="1" t="s">
        <v>3582</v>
      </c>
      <c r="M1473" t="s">
        <v>3584</v>
      </c>
      <c r="N1473">
        <v>6</v>
      </c>
    </row>
    <row r="1474" spans="1:14" x14ac:dyDescent="0.25">
      <c r="A1474" s="3" t="str">
        <f>HYPERLINK("http://www.ncbi.nlm.nih.gov/gene/80308","80308")</f>
        <v>80308</v>
      </c>
      <c r="B1474" s="1" t="s">
        <v>3585</v>
      </c>
      <c r="C1474" t="s">
        <v>3586</v>
      </c>
      <c r="D1474">
        <v>187.7</v>
      </c>
      <c r="E1474">
        <v>190.8</v>
      </c>
      <c r="F1474">
        <v>100</v>
      </c>
      <c r="G1474">
        <v>99.8</v>
      </c>
      <c r="H1474">
        <v>165.9</v>
      </c>
      <c r="I1474">
        <v>168.7</v>
      </c>
      <c r="J1474">
        <v>100</v>
      </c>
      <c r="K1474">
        <v>100</v>
      </c>
      <c r="L1474" s="1" t="s">
        <v>3585</v>
      </c>
      <c r="M1474" t="s">
        <v>116</v>
      </c>
      <c r="N1474">
        <v>3</v>
      </c>
    </row>
    <row r="1475" spans="1:14" x14ac:dyDescent="0.25">
      <c r="A1475" s="3" t="str">
        <f>HYPERLINK("http://www.ncbi.nlm.nih.gov/gene/201163","201163")</f>
        <v>201163</v>
      </c>
      <c r="B1475" s="1" t="s">
        <v>3587</v>
      </c>
      <c r="C1475" t="s">
        <v>3588</v>
      </c>
      <c r="D1475">
        <v>166.7</v>
      </c>
      <c r="E1475">
        <v>173.1</v>
      </c>
      <c r="F1475">
        <v>100</v>
      </c>
      <c r="G1475">
        <v>100</v>
      </c>
      <c r="H1475">
        <v>136.69999999999999</v>
      </c>
      <c r="I1475">
        <v>141.80000000000001</v>
      </c>
      <c r="J1475">
        <v>100</v>
      </c>
      <c r="K1475">
        <v>100</v>
      </c>
      <c r="L1475" s="1" t="s">
        <v>3587</v>
      </c>
      <c r="M1475" t="s">
        <v>653</v>
      </c>
      <c r="N1475">
        <v>3</v>
      </c>
    </row>
    <row r="1476" spans="1:14" x14ac:dyDescent="0.25">
      <c r="A1476" s="3" t="str">
        <f>HYPERLINK("http://www.ncbi.nlm.nih.gov/gene/2312","2312")</f>
        <v>2312</v>
      </c>
      <c r="B1476" s="1" t="s">
        <v>3589</v>
      </c>
      <c r="C1476" t="s">
        <v>3590</v>
      </c>
      <c r="D1476">
        <v>189.2</v>
      </c>
      <c r="E1476">
        <v>171.7</v>
      </c>
      <c r="F1476">
        <v>100</v>
      </c>
      <c r="G1476">
        <v>99.9</v>
      </c>
      <c r="H1476">
        <v>302.2</v>
      </c>
      <c r="I1476">
        <v>293.8</v>
      </c>
      <c r="J1476">
        <v>100</v>
      </c>
      <c r="K1476">
        <v>100</v>
      </c>
      <c r="L1476" s="1" t="s">
        <v>3589</v>
      </c>
      <c r="M1476" t="s">
        <v>3591</v>
      </c>
      <c r="N1476">
        <v>3</v>
      </c>
    </row>
    <row r="1477" spans="1:14" x14ac:dyDescent="0.25">
      <c r="A1477" s="3" t="str">
        <f>HYPERLINK("http://www.ncbi.nlm.nih.gov/gene/388698","388698")</f>
        <v>388698</v>
      </c>
      <c r="B1477" s="1" t="s">
        <v>3592</v>
      </c>
      <c r="C1477" t="s">
        <v>3593</v>
      </c>
      <c r="D1477">
        <v>413.3</v>
      </c>
      <c r="E1477">
        <v>383.9</v>
      </c>
      <c r="F1477">
        <v>100</v>
      </c>
      <c r="G1477">
        <v>100</v>
      </c>
      <c r="H1477">
        <v>266.39999999999998</v>
      </c>
      <c r="I1477">
        <v>276</v>
      </c>
      <c r="J1477">
        <v>99.9</v>
      </c>
      <c r="K1477">
        <v>99.9</v>
      </c>
      <c r="L1477" s="1" t="s">
        <v>3592</v>
      </c>
      <c r="M1477" t="s">
        <v>47</v>
      </c>
      <c r="N1477">
        <v>2</v>
      </c>
    </row>
    <row r="1478" spans="1:14" x14ac:dyDescent="0.25">
      <c r="A1478" s="3" t="str">
        <f>HYPERLINK("http://www.ncbi.nlm.nih.gov/gene/2313","2313")</f>
        <v>2313</v>
      </c>
      <c r="B1478" s="1" t="s">
        <v>3594</v>
      </c>
      <c r="C1478" t="s">
        <v>3595</v>
      </c>
      <c r="D1478">
        <v>189</v>
      </c>
      <c r="E1478">
        <v>198.2</v>
      </c>
      <c r="F1478">
        <v>99.5</v>
      </c>
      <c r="G1478">
        <v>98.2</v>
      </c>
      <c r="H1478">
        <v>148.5</v>
      </c>
      <c r="I1478">
        <v>152.19999999999999</v>
      </c>
      <c r="J1478">
        <v>100</v>
      </c>
      <c r="K1478">
        <v>100</v>
      </c>
      <c r="L1478" s="1" t="s">
        <v>3594</v>
      </c>
      <c r="M1478" t="s">
        <v>3596</v>
      </c>
      <c r="N1478">
        <v>2</v>
      </c>
    </row>
    <row r="1479" spans="1:14" x14ac:dyDescent="0.25">
      <c r="A1479" s="3" t="str">
        <f>HYPERLINK("http://www.ncbi.nlm.nih.gov/gene/2316","2316")</f>
        <v>2316</v>
      </c>
      <c r="B1479" s="1" t="s">
        <v>3597</v>
      </c>
      <c r="C1479" t="s">
        <v>3598</v>
      </c>
      <c r="D1479">
        <v>137.30000000000001</v>
      </c>
      <c r="E1479">
        <v>138.5</v>
      </c>
      <c r="F1479">
        <v>100</v>
      </c>
      <c r="G1479">
        <v>99.9</v>
      </c>
      <c r="H1479">
        <v>146</v>
      </c>
      <c r="I1479">
        <v>149.69999999999999</v>
      </c>
      <c r="J1479">
        <v>100</v>
      </c>
      <c r="K1479">
        <v>100</v>
      </c>
      <c r="L1479" s="1" t="s">
        <v>3597</v>
      </c>
      <c r="M1479" t="s">
        <v>3599</v>
      </c>
      <c r="N1479">
        <v>10</v>
      </c>
    </row>
    <row r="1480" spans="1:14" x14ac:dyDescent="0.25">
      <c r="A1480" s="3" t="str">
        <f>HYPERLINK("http://www.ncbi.nlm.nih.gov/gene/2317","2317")</f>
        <v>2317</v>
      </c>
      <c r="B1480" s="1" t="s">
        <v>3600</v>
      </c>
      <c r="C1480" t="s">
        <v>3601</v>
      </c>
      <c r="D1480">
        <v>135.69999999999999</v>
      </c>
      <c r="E1480">
        <v>140.5</v>
      </c>
      <c r="F1480">
        <v>99.5</v>
      </c>
      <c r="G1480">
        <v>98.8</v>
      </c>
      <c r="H1480">
        <v>138.1</v>
      </c>
      <c r="I1480">
        <v>142.30000000000001</v>
      </c>
      <c r="J1480">
        <v>100</v>
      </c>
      <c r="K1480">
        <v>100</v>
      </c>
      <c r="L1480" s="1" t="s">
        <v>3600</v>
      </c>
      <c r="M1480" t="s">
        <v>3602</v>
      </c>
      <c r="N1480">
        <v>5</v>
      </c>
    </row>
    <row r="1481" spans="1:14" x14ac:dyDescent="0.25">
      <c r="A1481" s="3" t="str">
        <f>HYPERLINK("http://www.ncbi.nlm.nih.gov/gene/2318","2318")</f>
        <v>2318</v>
      </c>
      <c r="B1481" s="1" t="s">
        <v>3603</v>
      </c>
      <c r="C1481" t="s">
        <v>3604</v>
      </c>
      <c r="D1481">
        <v>154.30000000000001</v>
      </c>
      <c r="E1481">
        <v>158.4</v>
      </c>
      <c r="F1481">
        <v>100</v>
      </c>
      <c r="G1481">
        <v>99.6</v>
      </c>
      <c r="H1481">
        <v>160.5</v>
      </c>
      <c r="I1481">
        <v>165.7</v>
      </c>
      <c r="J1481">
        <v>100</v>
      </c>
      <c r="K1481">
        <v>100</v>
      </c>
      <c r="L1481" s="1" t="s">
        <v>3603</v>
      </c>
      <c r="M1481" t="s">
        <v>3605</v>
      </c>
      <c r="N1481">
        <v>4</v>
      </c>
    </row>
    <row r="1482" spans="1:14" x14ac:dyDescent="0.25">
      <c r="A1482" s="3" t="str">
        <f>HYPERLINK("http://www.ncbi.nlm.nih.gov/gene/23767","23767")</f>
        <v>23767</v>
      </c>
      <c r="B1482" s="1" t="s">
        <v>3606</v>
      </c>
      <c r="C1482" t="s">
        <v>3607</v>
      </c>
      <c r="D1482">
        <v>211.7</v>
      </c>
      <c r="E1482">
        <v>199.1</v>
      </c>
      <c r="F1482">
        <v>100</v>
      </c>
      <c r="G1482">
        <v>100</v>
      </c>
      <c r="H1482">
        <v>154</v>
      </c>
      <c r="I1482">
        <v>153.5</v>
      </c>
      <c r="J1482">
        <v>100</v>
      </c>
      <c r="K1482">
        <v>100</v>
      </c>
      <c r="L1482" s="1" t="s">
        <v>3606</v>
      </c>
      <c r="M1482" t="s">
        <v>1011</v>
      </c>
      <c r="N1482">
        <v>3</v>
      </c>
    </row>
    <row r="1483" spans="1:14" x14ac:dyDescent="0.25">
      <c r="A1483" s="3" t="str">
        <f>HYPERLINK("http://www.ncbi.nlm.nih.gov/gene/2321","2321")</f>
        <v>2321</v>
      </c>
      <c r="B1483" s="1" t="s">
        <v>3608</v>
      </c>
      <c r="C1483" t="s">
        <v>3609</v>
      </c>
      <c r="D1483">
        <v>152.9</v>
      </c>
      <c r="E1483">
        <v>158.5</v>
      </c>
      <c r="F1483">
        <v>100</v>
      </c>
      <c r="G1483">
        <v>99.6</v>
      </c>
      <c r="H1483">
        <v>141.9</v>
      </c>
      <c r="I1483">
        <v>145.80000000000001</v>
      </c>
      <c r="J1483">
        <v>100</v>
      </c>
      <c r="K1483">
        <v>100</v>
      </c>
      <c r="L1483" s="1" t="s">
        <v>3608</v>
      </c>
      <c r="M1483" t="s">
        <v>661</v>
      </c>
      <c r="N1483">
        <v>2</v>
      </c>
    </row>
    <row r="1484" spans="1:14" x14ac:dyDescent="0.25">
      <c r="A1484" s="3" t="str">
        <f>HYPERLINK("http://www.ncbi.nlm.nih.gov/gene/2322","2322")</f>
        <v>2322</v>
      </c>
      <c r="B1484" s="1" t="s">
        <v>3610</v>
      </c>
      <c r="C1484" t="s">
        <v>3611</v>
      </c>
      <c r="D1484">
        <v>133.1</v>
      </c>
      <c r="E1484">
        <v>136.69999999999999</v>
      </c>
      <c r="F1484">
        <v>99.9</v>
      </c>
      <c r="G1484">
        <v>98.9</v>
      </c>
      <c r="H1484">
        <v>133.1</v>
      </c>
      <c r="I1484">
        <v>136.69999999999999</v>
      </c>
      <c r="J1484">
        <v>100</v>
      </c>
      <c r="K1484">
        <v>100</v>
      </c>
      <c r="L1484" s="1" t="s">
        <v>3610</v>
      </c>
      <c r="M1484" t="s">
        <v>22</v>
      </c>
      <c r="N1484">
        <v>1</v>
      </c>
    </row>
    <row r="1485" spans="1:14" x14ac:dyDescent="0.25">
      <c r="A1485" s="3" t="str">
        <f>HYPERLINK("http://www.ncbi.nlm.nih.gov/gene/2324","2324")</f>
        <v>2324</v>
      </c>
      <c r="B1485" s="1" t="s">
        <v>3612</v>
      </c>
      <c r="C1485" t="s">
        <v>3613</v>
      </c>
      <c r="D1485">
        <v>149.9</v>
      </c>
      <c r="E1485">
        <v>154.80000000000001</v>
      </c>
      <c r="F1485">
        <v>99.2</v>
      </c>
      <c r="G1485">
        <v>98.3</v>
      </c>
      <c r="H1485">
        <v>147.19999999999999</v>
      </c>
      <c r="I1485">
        <v>150.9</v>
      </c>
      <c r="J1485">
        <v>100</v>
      </c>
      <c r="K1485">
        <v>100</v>
      </c>
      <c r="L1485" s="1" t="s">
        <v>3612</v>
      </c>
      <c r="M1485" t="s">
        <v>3614</v>
      </c>
      <c r="N1485">
        <v>4</v>
      </c>
    </row>
    <row r="1486" spans="1:14" x14ac:dyDescent="0.25">
      <c r="A1486" s="3" t="str">
        <f>HYPERLINK("http://www.ncbi.nlm.nih.gov/gene/28982","28982")</f>
        <v>28982</v>
      </c>
      <c r="B1486" s="1" t="s">
        <v>3615</v>
      </c>
      <c r="C1486" t="s">
        <v>3616</v>
      </c>
      <c r="D1486">
        <v>158.19999999999999</v>
      </c>
      <c r="E1486">
        <v>153.19999999999999</v>
      </c>
      <c r="F1486">
        <v>100</v>
      </c>
      <c r="G1486">
        <v>98.9</v>
      </c>
      <c r="H1486">
        <v>132.6</v>
      </c>
      <c r="I1486">
        <v>135.30000000000001</v>
      </c>
      <c r="J1486">
        <v>100</v>
      </c>
      <c r="K1486">
        <v>100</v>
      </c>
      <c r="L1486" s="1" t="s">
        <v>3615</v>
      </c>
      <c r="M1486" t="s">
        <v>3617</v>
      </c>
      <c r="N1486">
        <v>7</v>
      </c>
    </row>
    <row r="1487" spans="1:14" x14ac:dyDescent="0.25">
      <c r="A1487" s="3" t="str">
        <f>HYPERLINK("http://www.ncbi.nlm.nih.gov/gene/55640","55640")</f>
        <v>55640</v>
      </c>
      <c r="B1487" s="1" t="s">
        <v>3618</v>
      </c>
      <c r="C1487" t="s">
        <v>3619</v>
      </c>
      <c r="D1487">
        <v>162</v>
      </c>
      <c r="E1487">
        <v>140.69999999999999</v>
      </c>
      <c r="F1487">
        <v>100</v>
      </c>
      <c r="G1487">
        <v>100</v>
      </c>
      <c r="H1487">
        <v>160.4</v>
      </c>
      <c r="I1487">
        <v>162.80000000000001</v>
      </c>
      <c r="J1487">
        <v>100</v>
      </c>
      <c r="K1487">
        <v>100</v>
      </c>
      <c r="L1487" s="1" t="s">
        <v>3618</v>
      </c>
      <c r="M1487" t="s">
        <v>3620</v>
      </c>
      <c r="N1487">
        <v>4</v>
      </c>
    </row>
    <row r="1488" spans="1:14" x14ac:dyDescent="0.25">
      <c r="A1488" s="3" t="str">
        <f>HYPERLINK("http://www.ncbi.nlm.nih.gov/gene/342184","342184")</f>
        <v>342184</v>
      </c>
      <c r="B1488" s="1" t="s">
        <v>3621</v>
      </c>
      <c r="C1488" t="s">
        <v>3622</v>
      </c>
      <c r="D1488">
        <v>148.30000000000001</v>
      </c>
      <c r="E1488">
        <v>147</v>
      </c>
      <c r="F1488">
        <v>97.3</v>
      </c>
      <c r="G1488">
        <v>96.3</v>
      </c>
      <c r="H1488">
        <v>150.6</v>
      </c>
      <c r="I1488">
        <v>152.6</v>
      </c>
      <c r="J1488">
        <v>100</v>
      </c>
      <c r="K1488">
        <v>100</v>
      </c>
      <c r="L1488" s="1" t="s">
        <v>3621</v>
      </c>
      <c r="M1488" t="s">
        <v>1487</v>
      </c>
      <c r="N1488">
        <v>2</v>
      </c>
    </row>
    <row r="1489" spans="1:14" x14ac:dyDescent="0.25">
      <c r="A1489" s="3" t="str">
        <f>HYPERLINK("http://www.ncbi.nlm.nih.gov/gene/56776","56776")</f>
        <v>56776</v>
      </c>
      <c r="B1489" s="1" t="s">
        <v>3623</v>
      </c>
      <c r="D1489">
        <v>127</v>
      </c>
      <c r="E1489">
        <v>106.8</v>
      </c>
      <c r="F1489">
        <v>85.5</v>
      </c>
      <c r="G1489">
        <v>82.5</v>
      </c>
      <c r="H1489">
        <v>153.30000000000001</v>
      </c>
      <c r="I1489">
        <v>155</v>
      </c>
      <c r="J1489">
        <v>100</v>
      </c>
      <c r="K1489">
        <v>100</v>
      </c>
      <c r="L1489" s="1" t="s">
        <v>3623</v>
      </c>
      <c r="M1489" t="s">
        <v>228</v>
      </c>
      <c r="N1489">
        <v>3</v>
      </c>
    </row>
    <row r="1490" spans="1:14" x14ac:dyDescent="0.25">
      <c r="A1490" s="3" t="str">
        <f>HYPERLINK("http://www.ncbi.nlm.nih.gov/gene/2328","2328")</f>
        <v>2328</v>
      </c>
      <c r="B1490" s="1" t="s">
        <v>3624</v>
      </c>
      <c r="C1490" t="s">
        <v>3625</v>
      </c>
      <c r="D1490">
        <v>159.6</v>
      </c>
      <c r="E1490">
        <v>168</v>
      </c>
      <c r="F1490">
        <v>99.9</v>
      </c>
      <c r="G1490">
        <v>99.7</v>
      </c>
      <c r="H1490">
        <v>145.5</v>
      </c>
      <c r="I1490">
        <v>150.19999999999999</v>
      </c>
      <c r="J1490">
        <v>100</v>
      </c>
      <c r="K1490">
        <v>100</v>
      </c>
      <c r="L1490" s="1" t="s">
        <v>3624</v>
      </c>
      <c r="M1490" t="s">
        <v>116</v>
      </c>
      <c r="N1490">
        <v>3</v>
      </c>
    </row>
    <row r="1491" spans="1:14" x14ac:dyDescent="0.25">
      <c r="A1491" s="3" t="str">
        <f>HYPERLINK("http://www.ncbi.nlm.nih.gov/gene/2332","2332")</f>
        <v>2332</v>
      </c>
      <c r="B1491" s="1" t="s">
        <v>3626</v>
      </c>
      <c r="C1491" t="s">
        <v>3627</v>
      </c>
      <c r="D1491">
        <v>93</v>
      </c>
      <c r="E1491">
        <v>96</v>
      </c>
      <c r="F1491">
        <v>96.1</v>
      </c>
      <c r="G1491">
        <v>92.1</v>
      </c>
      <c r="H1491">
        <v>116</v>
      </c>
      <c r="I1491">
        <v>118.9</v>
      </c>
      <c r="J1491">
        <v>100</v>
      </c>
      <c r="K1491">
        <v>100</v>
      </c>
      <c r="L1491" s="1" t="s">
        <v>3626</v>
      </c>
      <c r="M1491" t="s">
        <v>728</v>
      </c>
      <c r="N1491">
        <v>2</v>
      </c>
    </row>
    <row r="1492" spans="1:14" x14ac:dyDescent="0.25">
      <c r="A1492" s="3" t="str">
        <f>HYPERLINK("http://www.ncbi.nlm.nih.gov/gene/2335","2335")</f>
        <v>2335</v>
      </c>
      <c r="B1492" s="1" t="s">
        <v>3628</v>
      </c>
      <c r="C1492" t="s">
        <v>3629</v>
      </c>
      <c r="D1492">
        <v>124.4</v>
      </c>
      <c r="E1492">
        <v>129.80000000000001</v>
      </c>
      <c r="F1492">
        <v>100</v>
      </c>
      <c r="G1492">
        <v>99.3</v>
      </c>
      <c r="H1492">
        <v>146.80000000000001</v>
      </c>
      <c r="I1492">
        <v>151.6</v>
      </c>
      <c r="J1492">
        <v>100</v>
      </c>
      <c r="K1492">
        <v>100</v>
      </c>
      <c r="L1492" s="1" t="s">
        <v>3628</v>
      </c>
      <c r="M1492" t="s">
        <v>3630</v>
      </c>
      <c r="N1492">
        <v>3</v>
      </c>
    </row>
    <row r="1493" spans="1:14" x14ac:dyDescent="0.25">
      <c r="A1493" s="3" t="str">
        <f>HYPERLINK("http://www.ncbi.nlm.nih.gov/gene/96459","96459")</f>
        <v>96459</v>
      </c>
      <c r="B1493" s="1" t="s">
        <v>3631</v>
      </c>
      <c r="D1493">
        <v>184.5</v>
      </c>
      <c r="E1493">
        <v>186</v>
      </c>
      <c r="F1493">
        <v>100</v>
      </c>
      <c r="G1493">
        <v>99.8</v>
      </c>
      <c r="H1493">
        <v>137.5</v>
      </c>
      <c r="I1493">
        <v>138.80000000000001</v>
      </c>
      <c r="J1493">
        <v>100</v>
      </c>
      <c r="K1493">
        <v>100</v>
      </c>
      <c r="L1493" s="1" t="s">
        <v>3631</v>
      </c>
      <c r="M1493" t="s">
        <v>3632</v>
      </c>
      <c r="N1493">
        <v>4</v>
      </c>
    </row>
    <row r="1494" spans="1:14" x14ac:dyDescent="0.25">
      <c r="A1494" s="3" t="str">
        <f>HYPERLINK("http://www.ncbi.nlm.nih.gov/gene/2348","2348")</f>
        <v>2348</v>
      </c>
      <c r="B1494" s="1" t="s">
        <v>3633</v>
      </c>
      <c r="C1494" t="s">
        <v>3634</v>
      </c>
      <c r="D1494">
        <v>129</v>
      </c>
      <c r="E1494">
        <v>130.69999999999999</v>
      </c>
      <c r="F1494">
        <v>100</v>
      </c>
      <c r="G1494">
        <v>100</v>
      </c>
      <c r="H1494">
        <v>156.1</v>
      </c>
      <c r="I1494">
        <v>159.6</v>
      </c>
      <c r="J1494">
        <v>100</v>
      </c>
      <c r="K1494">
        <v>100</v>
      </c>
      <c r="L1494" s="1" t="s">
        <v>3633</v>
      </c>
      <c r="M1494" t="s">
        <v>449</v>
      </c>
      <c r="N1494">
        <v>6</v>
      </c>
    </row>
    <row r="1495" spans="1:14" x14ac:dyDescent="0.25">
      <c r="A1495" s="3" t="str">
        <f>HYPERLINK("http://www.ncbi.nlm.nih.gov/gene/2296","2296")</f>
        <v>2296</v>
      </c>
      <c r="B1495" s="1" t="s">
        <v>3635</v>
      </c>
      <c r="C1495" t="s">
        <v>3636</v>
      </c>
      <c r="D1495">
        <v>62.8</v>
      </c>
      <c r="E1495">
        <v>55.4</v>
      </c>
      <c r="F1495">
        <v>98</v>
      </c>
      <c r="G1495">
        <v>89.6</v>
      </c>
      <c r="H1495">
        <v>134</v>
      </c>
      <c r="I1495">
        <v>124.8</v>
      </c>
      <c r="J1495">
        <v>99.9</v>
      </c>
      <c r="K1495">
        <v>98.5</v>
      </c>
      <c r="L1495" s="1" t="s">
        <v>3635</v>
      </c>
      <c r="M1495" t="s">
        <v>3637</v>
      </c>
      <c r="N1495">
        <v>3</v>
      </c>
    </row>
    <row r="1496" spans="1:14" x14ac:dyDescent="0.25">
      <c r="A1496" s="3" t="str">
        <f>HYPERLINK("http://www.ncbi.nlm.nih.gov/gene/2303","2303")</f>
        <v>2303</v>
      </c>
      <c r="B1496" s="1" t="s">
        <v>3638</v>
      </c>
      <c r="C1496" t="s">
        <v>3639</v>
      </c>
      <c r="D1496">
        <v>103.1</v>
      </c>
      <c r="E1496">
        <v>99.8</v>
      </c>
      <c r="F1496">
        <v>100</v>
      </c>
      <c r="G1496">
        <v>96.7</v>
      </c>
      <c r="H1496">
        <v>146.1</v>
      </c>
      <c r="I1496">
        <v>139.80000000000001</v>
      </c>
      <c r="J1496">
        <v>100</v>
      </c>
      <c r="K1496">
        <v>99.8</v>
      </c>
      <c r="L1496" s="1" t="s">
        <v>3638</v>
      </c>
      <c r="M1496" t="s">
        <v>3640</v>
      </c>
      <c r="N1496">
        <v>6</v>
      </c>
    </row>
    <row r="1497" spans="1:14" x14ac:dyDescent="0.25">
      <c r="A1497" s="3" t="str">
        <f>HYPERLINK("http://www.ncbi.nlm.nih.gov/gene/2298","2298")</f>
        <v>2298</v>
      </c>
      <c r="B1497" s="1" t="s">
        <v>3641</v>
      </c>
      <c r="C1497" t="s">
        <v>3642</v>
      </c>
      <c r="D1497">
        <v>6.9</v>
      </c>
      <c r="E1497">
        <v>1.3</v>
      </c>
      <c r="F1497">
        <v>26.3</v>
      </c>
      <c r="G1497">
        <v>13.3</v>
      </c>
      <c r="H1497">
        <v>291.5</v>
      </c>
      <c r="I1497">
        <v>300.10000000000002</v>
      </c>
      <c r="J1497">
        <v>100</v>
      </c>
      <c r="K1497">
        <v>100</v>
      </c>
      <c r="L1497" s="1" t="s">
        <v>3641</v>
      </c>
      <c r="M1497" t="s">
        <v>197</v>
      </c>
      <c r="N1497">
        <v>2</v>
      </c>
    </row>
    <row r="1498" spans="1:14" x14ac:dyDescent="0.25">
      <c r="A1498" s="3" t="str">
        <f>HYPERLINK("http://www.ncbi.nlm.nih.gov/gene/2304","2304")</f>
        <v>2304</v>
      </c>
      <c r="B1498" s="1" t="s">
        <v>3643</v>
      </c>
      <c r="C1498" t="s">
        <v>3644</v>
      </c>
      <c r="D1498">
        <v>111.3</v>
      </c>
      <c r="E1498">
        <v>42.5</v>
      </c>
      <c r="F1498">
        <v>96.9</v>
      </c>
      <c r="G1498">
        <v>78.5</v>
      </c>
      <c r="H1498">
        <v>114.7</v>
      </c>
      <c r="I1498">
        <v>105.4</v>
      </c>
      <c r="J1498">
        <v>99.9</v>
      </c>
      <c r="K1498">
        <v>99.1</v>
      </c>
      <c r="L1498" s="1" t="s">
        <v>3643</v>
      </c>
      <c r="M1498" t="s">
        <v>3645</v>
      </c>
      <c r="N1498">
        <v>5</v>
      </c>
    </row>
    <row r="1499" spans="1:14" x14ac:dyDescent="0.25">
      <c r="A1499" s="3" t="str">
        <f>HYPERLINK("http://www.ncbi.nlm.nih.gov/gene/2301","2301")</f>
        <v>2301</v>
      </c>
      <c r="B1499" s="1" t="s">
        <v>3646</v>
      </c>
      <c r="C1499" t="s">
        <v>3647</v>
      </c>
      <c r="D1499">
        <v>57.3</v>
      </c>
      <c r="E1499">
        <v>46</v>
      </c>
      <c r="F1499">
        <v>82.6</v>
      </c>
      <c r="G1499">
        <v>72</v>
      </c>
      <c r="H1499">
        <v>88.9</v>
      </c>
      <c r="I1499">
        <v>64.900000000000006</v>
      </c>
      <c r="J1499">
        <v>94.4</v>
      </c>
      <c r="K1499">
        <v>87.8</v>
      </c>
      <c r="L1499" s="1" t="s">
        <v>3646</v>
      </c>
      <c r="M1499" t="s">
        <v>3648</v>
      </c>
      <c r="N1499">
        <v>5</v>
      </c>
    </row>
    <row r="1500" spans="1:14" x14ac:dyDescent="0.25">
      <c r="A1500" s="3" t="str">
        <f>HYPERLINK("http://www.ncbi.nlm.nih.gov/gene/2294","2294")</f>
        <v>2294</v>
      </c>
      <c r="B1500" s="1" t="s">
        <v>3649</v>
      </c>
      <c r="C1500" t="s">
        <v>3650</v>
      </c>
      <c r="D1500">
        <v>141.9</v>
      </c>
      <c r="E1500">
        <v>126.6</v>
      </c>
      <c r="F1500">
        <v>99.9</v>
      </c>
      <c r="G1500">
        <v>98.8</v>
      </c>
      <c r="H1500">
        <v>158</v>
      </c>
      <c r="I1500">
        <v>160.1</v>
      </c>
      <c r="J1500">
        <v>100</v>
      </c>
      <c r="K1500">
        <v>100</v>
      </c>
      <c r="L1500" s="1" t="s">
        <v>3649</v>
      </c>
      <c r="M1500" t="s">
        <v>285</v>
      </c>
      <c r="N1500">
        <v>1</v>
      </c>
    </row>
    <row r="1501" spans="1:14" x14ac:dyDescent="0.25">
      <c r="A1501" s="3" t="str">
        <f>HYPERLINK("http://www.ncbi.nlm.nih.gov/gene/2295","2295")</f>
        <v>2295</v>
      </c>
      <c r="B1501" s="1" t="s">
        <v>3651</v>
      </c>
      <c r="C1501" t="s">
        <v>3652</v>
      </c>
      <c r="D1501">
        <v>89.7</v>
      </c>
      <c r="E1501">
        <v>73.2</v>
      </c>
      <c r="F1501">
        <v>93.6</v>
      </c>
      <c r="G1501">
        <v>86.6</v>
      </c>
      <c r="H1501">
        <v>142.1</v>
      </c>
      <c r="I1501">
        <v>154.6</v>
      </c>
      <c r="J1501">
        <v>96.4</v>
      </c>
      <c r="K1501">
        <v>94.8</v>
      </c>
      <c r="L1501" s="1" t="s">
        <v>3651</v>
      </c>
      <c r="M1501" t="s">
        <v>1120</v>
      </c>
      <c r="N1501">
        <v>2</v>
      </c>
    </row>
    <row r="1502" spans="1:14" x14ac:dyDescent="0.25">
      <c r="A1502" s="3" t="str">
        <f>HYPERLINK("http://www.ncbi.nlm.nih.gov/gene/2290","2290")</f>
        <v>2290</v>
      </c>
      <c r="B1502" s="1" t="s">
        <v>3653</v>
      </c>
      <c r="C1502" t="s">
        <v>3654</v>
      </c>
      <c r="D1502">
        <v>133.19999999999999</v>
      </c>
      <c r="E1502">
        <v>144.6</v>
      </c>
      <c r="F1502">
        <v>88.6</v>
      </c>
      <c r="G1502">
        <v>82.1</v>
      </c>
      <c r="H1502">
        <v>139.4</v>
      </c>
      <c r="I1502">
        <v>159</v>
      </c>
      <c r="J1502">
        <v>99.2</v>
      </c>
      <c r="K1502">
        <v>96.4</v>
      </c>
      <c r="L1502" s="1" t="s">
        <v>3653</v>
      </c>
      <c r="M1502" t="s">
        <v>995</v>
      </c>
      <c r="N1502">
        <v>3</v>
      </c>
    </row>
    <row r="1503" spans="1:14" x14ac:dyDescent="0.25">
      <c r="A1503" s="3" t="str">
        <f>HYPERLINK("http://www.ncbi.nlm.nih.gov/gene/8928","8928")</f>
        <v>8928</v>
      </c>
      <c r="B1503" s="1" t="s">
        <v>3655</v>
      </c>
      <c r="C1503" t="s">
        <v>3656</v>
      </c>
      <c r="D1503">
        <v>74.3</v>
      </c>
      <c r="E1503">
        <v>65.599999999999994</v>
      </c>
      <c r="F1503">
        <v>100</v>
      </c>
      <c r="G1503">
        <v>96.5</v>
      </c>
      <c r="H1503">
        <v>154.1</v>
      </c>
      <c r="I1503">
        <v>154.69999999999999</v>
      </c>
      <c r="J1503">
        <v>100</v>
      </c>
      <c r="K1503">
        <v>100</v>
      </c>
      <c r="L1503" s="1" t="s">
        <v>3655</v>
      </c>
      <c r="M1503" t="s">
        <v>180</v>
      </c>
      <c r="N1503">
        <v>3</v>
      </c>
    </row>
    <row r="1504" spans="1:14" x14ac:dyDescent="0.25">
      <c r="A1504" s="3" t="str">
        <f>HYPERLINK("http://www.ncbi.nlm.nih.gov/gene/2299","2299")</f>
        <v>2299</v>
      </c>
      <c r="B1504" s="1" t="s">
        <v>3657</v>
      </c>
      <c r="C1504" t="s">
        <v>3658</v>
      </c>
      <c r="D1504">
        <v>220.7</v>
      </c>
      <c r="E1504">
        <v>223.4</v>
      </c>
      <c r="F1504">
        <v>100</v>
      </c>
      <c r="G1504">
        <v>100</v>
      </c>
      <c r="H1504">
        <v>174.2</v>
      </c>
      <c r="I1504">
        <v>175.7</v>
      </c>
      <c r="J1504">
        <v>100</v>
      </c>
      <c r="K1504">
        <v>100</v>
      </c>
      <c r="L1504" s="1" t="s">
        <v>3657</v>
      </c>
      <c r="M1504" t="s">
        <v>3659</v>
      </c>
      <c r="N1504">
        <v>4</v>
      </c>
    </row>
    <row r="1505" spans="1:14" x14ac:dyDescent="0.25">
      <c r="A1505" s="3" t="str">
        <f>HYPERLINK("http://www.ncbi.nlm.nih.gov/gene/2302","2302")</f>
        <v>2302</v>
      </c>
      <c r="B1505" s="1" t="s">
        <v>3660</v>
      </c>
      <c r="C1505" t="s">
        <v>3661</v>
      </c>
      <c r="D1505">
        <v>94.5</v>
      </c>
      <c r="E1505">
        <v>74.5</v>
      </c>
      <c r="F1505">
        <v>99.9</v>
      </c>
      <c r="G1505">
        <v>98.4</v>
      </c>
      <c r="H1505">
        <v>134.69999999999999</v>
      </c>
      <c r="I1505">
        <v>136.5</v>
      </c>
      <c r="J1505">
        <v>100</v>
      </c>
      <c r="K1505">
        <v>100</v>
      </c>
      <c r="L1505" s="1" t="s">
        <v>3660</v>
      </c>
      <c r="M1505" t="s">
        <v>189</v>
      </c>
      <c r="N1505">
        <v>2</v>
      </c>
    </row>
    <row r="1506" spans="1:14" x14ac:dyDescent="0.25">
      <c r="A1506" s="3" t="str">
        <f>HYPERLINK("http://www.ncbi.nlm.nih.gov/gene/2300","2300")</f>
        <v>2300</v>
      </c>
      <c r="B1506" s="1" t="s">
        <v>3662</v>
      </c>
      <c r="C1506" t="s">
        <v>3663</v>
      </c>
      <c r="D1506">
        <v>106.3</v>
      </c>
      <c r="E1506">
        <v>106.3</v>
      </c>
      <c r="F1506">
        <v>96.6</v>
      </c>
      <c r="G1506">
        <v>89</v>
      </c>
      <c r="H1506">
        <v>173.4</v>
      </c>
      <c r="I1506">
        <v>185.5</v>
      </c>
      <c r="J1506">
        <v>100</v>
      </c>
      <c r="K1506">
        <v>100</v>
      </c>
      <c r="L1506" s="1" t="s">
        <v>3662</v>
      </c>
      <c r="M1506" t="s">
        <v>180</v>
      </c>
      <c r="N1506">
        <v>3</v>
      </c>
    </row>
    <row r="1507" spans="1:14" x14ac:dyDescent="0.25">
      <c r="A1507" s="3" t="str">
        <f>HYPERLINK("http://www.ncbi.nlm.nih.gov/gene/668","668")</f>
        <v>668</v>
      </c>
      <c r="B1507" s="1" t="s">
        <v>3664</v>
      </c>
      <c r="C1507" t="s">
        <v>3665</v>
      </c>
      <c r="D1507">
        <v>111</v>
      </c>
      <c r="E1507">
        <v>68.7</v>
      </c>
      <c r="F1507">
        <v>99.7</v>
      </c>
      <c r="G1507">
        <v>95.5</v>
      </c>
      <c r="H1507">
        <v>106.4</v>
      </c>
      <c r="I1507">
        <v>98.2</v>
      </c>
      <c r="J1507">
        <v>99.8</v>
      </c>
      <c r="K1507">
        <v>98</v>
      </c>
      <c r="L1507" s="1" t="s">
        <v>3664</v>
      </c>
      <c r="M1507" t="s">
        <v>840</v>
      </c>
      <c r="N1507">
        <v>2</v>
      </c>
    </row>
    <row r="1508" spans="1:14" x14ac:dyDescent="0.25">
      <c r="A1508" s="3" t="str">
        <f>HYPERLINK("http://www.ncbi.nlm.nih.gov/gene/8456","8456")</f>
        <v>8456</v>
      </c>
      <c r="B1508" s="1" t="s">
        <v>3666</v>
      </c>
      <c r="C1508" t="s">
        <v>3667</v>
      </c>
      <c r="D1508">
        <v>146.4</v>
      </c>
      <c r="E1508">
        <v>149.9</v>
      </c>
      <c r="F1508">
        <v>100</v>
      </c>
      <c r="G1508">
        <v>99.6</v>
      </c>
      <c r="H1508">
        <v>171.6</v>
      </c>
      <c r="I1508">
        <v>175.1</v>
      </c>
      <c r="J1508">
        <v>100</v>
      </c>
      <c r="K1508">
        <v>100</v>
      </c>
      <c r="L1508" s="1" t="s">
        <v>3666</v>
      </c>
      <c r="M1508" t="s">
        <v>3668</v>
      </c>
      <c r="N1508">
        <v>5</v>
      </c>
    </row>
    <row r="1509" spans="1:14" x14ac:dyDescent="0.25">
      <c r="A1509" s="3" t="str">
        <f>HYPERLINK("http://www.ncbi.nlm.nih.gov/gene/2308","2308")</f>
        <v>2308</v>
      </c>
      <c r="B1509" s="1" t="s">
        <v>3669</v>
      </c>
      <c r="C1509" t="s">
        <v>3670</v>
      </c>
      <c r="D1509">
        <v>128.19999999999999</v>
      </c>
      <c r="E1509">
        <v>121.1</v>
      </c>
      <c r="F1509">
        <v>99.5</v>
      </c>
      <c r="G1509">
        <v>93.9</v>
      </c>
      <c r="H1509">
        <v>131.1</v>
      </c>
      <c r="I1509">
        <v>131</v>
      </c>
      <c r="J1509">
        <v>99.2</v>
      </c>
      <c r="K1509">
        <v>96.9</v>
      </c>
      <c r="L1509" s="1" t="s">
        <v>3669</v>
      </c>
      <c r="M1509" t="s">
        <v>22</v>
      </c>
      <c r="N1509">
        <v>1</v>
      </c>
    </row>
    <row r="1510" spans="1:14" x14ac:dyDescent="0.25">
      <c r="A1510" s="3" t="str">
        <f>HYPERLINK("http://www.ncbi.nlm.nih.gov/gene/27086","27086")</f>
        <v>27086</v>
      </c>
      <c r="B1510" s="1" t="s">
        <v>3671</v>
      </c>
      <c r="C1510" t="s">
        <v>3672</v>
      </c>
      <c r="D1510">
        <v>138.5</v>
      </c>
      <c r="E1510">
        <v>144</v>
      </c>
      <c r="F1510">
        <v>100</v>
      </c>
      <c r="G1510">
        <v>99.8</v>
      </c>
      <c r="H1510">
        <v>136.80000000000001</v>
      </c>
      <c r="I1510">
        <v>141.6</v>
      </c>
      <c r="J1510">
        <v>100</v>
      </c>
      <c r="K1510">
        <v>100</v>
      </c>
      <c r="L1510" s="1" t="s">
        <v>3671</v>
      </c>
      <c r="M1510" t="s">
        <v>189</v>
      </c>
      <c r="N1510">
        <v>2</v>
      </c>
    </row>
    <row r="1511" spans="1:14" x14ac:dyDescent="0.25">
      <c r="A1511" s="3" t="str">
        <f>HYPERLINK("http://www.ncbi.nlm.nih.gov/gene/93986","93986")</f>
        <v>93986</v>
      </c>
      <c r="B1511" s="1" t="s">
        <v>3673</v>
      </c>
      <c r="C1511" t="s">
        <v>3674</v>
      </c>
      <c r="D1511">
        <v>151.69999999999999</v>
      </c>
      <c r="E1511">
        <v>153.9</v>
      </c>
      <c r="F1511">
        <v>99.5</v>
      </c>
      <c r="G1511">
        <v>99.2</v>
      </c>
      <c r="H1511">
        <v>140</v>
      </c>
      <c r="I1511">
        <v>144.1</v>
      </c>
      <c r="J1511">
        <v>100</v>
      </c>
      <c r="K1511">
        <v>100</v>
      </c>
      <c r="L1511" s="1" t="s">
        <v>3673</v>
      </c>
      <c r="M1511" t="s">
        <v>189</v>
      </c>
      <c r="N1511">
        <v>2</v>
      </c>
    </row>
    <row r="1512" spans="1:14" x14ac:dyDescent="0.25">
      <c r="A1512" s="3" t="str">
        <f>HYPERLINK("http://www.ncbi.nlm.nih.gov/gene/50943","50943")</f>
        <v>50943</v>
      </c>
      <c r="B1512" s="1" t="s">
        <v>3675</v>
      </c>
      <c r="C1512" t="s">
        <v>3676</v>
      </c>
      <c r="D1512">
        <v>122.1</v>
      </c>
      <c r="E1512">
        <v>129.5</v>
      </c>
      <c r="F1512">
        <v>99.2</v>
      </c>
      <c r="G1512">
        <v>95.5</v>
      </c>
      <c r="H1512">
        <v>130.19999999999999</v>
      </c>
      <c r="I1512">
        <v>131.30000000000001</v>
      </c>
      <c r="J1512">
        <v>100</v>
      </c>
      <c r="K1512">
        <v>100</v>
      </c>
      <c r="L1512" s="1" t="s">
        <v>3675</v>
      </c>
      <c r="M1512" t="s">
        <v>3677</v>
      </c>
      <c r="N1512">
        <v>3</v>
      </c>
    </row>
    <row r="1513" spans="1:14" x14ac:dyDescent="0.25">
      <c r="A1513" s="3" t="str">
        <f>HYPERLINK("http://www.ncbi.nlm.nih.gov/gene/55572","55572")</f>
        <v>55572</v>
      </c>
      <c r="B1513" s="1" t="s">
        <v>3678</v>
      </c>
      <c r="C1513" t="s">
        <v>3679</v>
      </c>
      <c r="D1513">
        <v>131.69999999999999</v>
      </c>
      <c r="E1513">
        <v>136</v>
      </c>
      <c r="F1513">
        <v>100</v>
      </c>
      <c r="G1513">
        <v>99.9</v>
      </c>
      <c r="H1513">
        <v>128.30000000000001</v>
      </c>
      <c r="I1513">
        <v>131.80000000000001</v>
      </c>
      <c r="J1513">
        <v>100</v>
      </c>
      <c r="K1513">
        <v>100</v>
      </c>
      <c r="L1513" s="1" t="s">
        <v>3678</v>
      </c>
      <c r="M1513" t="s">
        <v>1206</v>
      </c>
      <c r="N1513">
        <v>5</v>
      </c>
    </row>
    <row r="1514" spans="1:14" x14ac:dyDescent="0.25">
      <c r="A1514" s="3" t="str">
        <f>HYPERLINK("http://www.ncbi.nlm.nih.gov/gene/2357","2357")</f>
        <v>2357</v>
      </c>
      <c r="B1514" s="1" t="s">
        <v>3680</v>
      </c>
      <c r="C1514" t="s">
        <v>3681</v>
      </c>
      <c r="D1514">
        <v>169.7</v>
      </c>
      <c r="E1514">
        <v>183</v>
      </c>
      <c r="F1514">
        <v>100</v>
      </c>
      <c r="G1514">
        <v>100</v>
      </c>
      <c r="H1514">
        <v>173.1</v>
      </c>
      <c r="I1514">
        <v>173.4</v>
      </c>
      <c r="J1514">
        <v>100</v>
      </c>
      <c r="K1514">
        <v>100</v>
      </c>
      <c r="L1514" s="1" t="s">
        <v>3680</v>
      </c>
      <c r="M1514" t="s">
        <v>502</v>
      </c>
      <c r="N1514">
        <v>2</v>
      </c>
    </row>
    <row r="1515" spans="1:14" x14ac:dyDescent="0.25">
      <c r="A1515" s="3" t="str">
        <f>HYPERLINK("http://www.ncbi.nlm.nih.gov/gene/80144","80144")</f>
        <v>80144</v>
      </c>
      <c r="B1515" s="1" t="s">
        <v>3682</v>
      </c>
      <c r="C1515" t="s">
        <v>3683</v>
      </c>
      <c r="D1515">
        <v>133.69999999999999</v>
      </c>
      <c r="E1515">
        <v>140.30000000000001</v>
      </c>
      <c r="F1515">
        <v>100</v>
      </c>
      <c r="G1515">
        <v>99.4</v>
      </c>
      <c r="H1515">
        <v>140.69999999999999</v>
      </c>
      <c r="I1515">
        <v>145.5</v>
      </c>
      <c r="J1515">
        <v>100</v>
      </c>
      <c r="K1515">
        <v>100</v>
      </c>
      <c r="L1515" s="1" t="s">
        <v>3682</v>
      </c>
      <c r="M1515" t="s">
        <v>3684</v>
      </c>
      <c r="N1515">
        <v>6</v>
      </c>
    </row>
    <row r="1516" spans="1:14" x14ac:dyDescent="0.25">
      <c r="A1516" s="3" t="str">
        <f>HYPERLINK("http://www.ncbi.nlm.nih.gov/gene/158326","158326")</f>
        <v>158326</v>
      </c>
      <c r="B1516" s="1" t="s">
        <v>3685</v>
      </c>
      <c r="C1516" t="s">
        <v>3686</v>
      </c>
      <c r="D1516">
        <v>127</v>
      </c>
      <c r="E1516">
        <v>135</v>
      </c>
      <c r="F1516">
        <v>99.9</v>
      </c>
      <c r="G1516">
        <v>99.1</v>
      </c>
      <c r="H1516">
        <v>149</v>
      </c>
      <c r="I1516">
        <v>153.69999999999999</v>
      </c>
      <c r="J1516">
        <v>100</v>
      </c>
      <c r="K1516">
        <v>100</v>
      </c>
      <c r="L1516" s="1" t="s">
        <v>3685</v>
      </c>
      <c r="M1516" t="s">
        <v>3687</v>
      </c>
      <c r="N1516">
        <v>5</v>
      </c>
    </row>
    <row r="1517" spans="1:14" x14ac:dyDescent="0.25">
      <c r="A1517" s="3" t="str">
        <f>HYPERLINK("http://www.ncbi.nlm.nih.gov/gene/341640","341640")</f>
        <v>341640</v>
      </c>
      <c r="B1517" s="1" t="s">
        <v>3688</v>
      </c>
      <c r="C1517" t="s">
        <v>3689</v>
      </c>
      <c r="D1517">
        <v>175.3</v>
      </c>
      <c r="E1517">
        <v>167.6</v>
      </c>
      <c r="F1517">
        <v>100</v>
      </c>
      <c r="G1517">
        <v>99.3</v>
      </c>
      <c r="H1517">
        <v>157.4</v>
      </c>
      <c r="I1517">
        <v>159</v>
      </c>
      <c r="J1517">
        <v>100</v>
      </c>
      <c r="K1517">
        <v>100</v>
      </c>
      <c r="L1517" s="1" t="s">
        <v>3688</v>
      </c>
      <c r="M1517" t="s">
        <v>3690</v>
      </c>
      <c r="N1517">
        <v>4</v>
      </c>
    </row>
    <row r="1518" spans="1:14" x14ac:dyDescent="0.25">
      <c r="A1518" s="3" t="str">
        <f>HYPERLINK("http://www.ncbi.nlm.nih.gov/gene/55691","55691")</f>
        <v>55691</v>
      </c>
      <c r="B1518" s="1" t="s">
        <v>3691</v>
      </c>
      <c r="C1518" t="s">
        <v>3692</v>
      </c>
      <c r="D1518">
        <v>133.69999999999999</v>
      </c>
      <c r="E1518">
        <v>129.4</v>
      </c>
      <c r="F1518">
        <v>90.7</v>
      </c>
      <c r="G1518">
        <v>87.3</v>
      </c>
      <c r="H1518">
        <v>128</v>
      </c>
      <c r="I1518">
        <v>131.1</v>
      </c>
      <c r="J1518">
        <v>96.6</v>
      </c>
      <c r="K1518">
        <v>96.6</v>
      </c>
      <c r="L1518" s="1" t="s">
        <v>3691</v>
      </c>
      <c r="M1518" t="s">
        <v>228</v>
      </c>
      <c r="N1518">
        <v>3</v>
      </c>
    </row>
    <row r="1519" spans="1:14" x14ac:dyDescent="0.25">
      <c r="A1519" s="3" t="str">
        <f>HYPERLINK("http://www.ncbi.nlm.nih.gov/gene/90167","90167")</f>
        <v>90167</v>
      </c>
      <c r="B1519" s="1" t="s">
        <v>3693</v>
      </c>
      <c r="C1519" t="s">
        <v>3694</v>
      </c>
      <c r="D1519">
        <v>117</v>
      </c>
      <c r="E1519">
        <v>115.7</v>
      </c>
      <c r="F1519">
        <v>99.9</v>
      </c>
      <c r="G1519">
        <v>99.1</v>
      </c>
      <c r="H1519">
        <v>140.4</v>
      </c>
      <c r="I1519">
        <v>141.69999999999999</v>
      </c>
      <c r="J1519">
        <v>100</v>
      </c>
      <c r="K1519">
        <v>99.6</v>
      </c>
      <c r="L1519" s="1" t="s">
        <v>3693</v>
      </c>
      <c r="M1519" t="s">
        <v>3695</v>
      </c>
      <c r="N1519">
        <v>3</v>
      </c>
    </row>
    <row r="1520" spans="1:14" x14ac:dyDescent="0.25">
      <c r="A1520" s="3" t="str">
        <f>HYPERLINK("http://www.ncbi.nlm.nih.gov/gene/9758","9758")</f>
        <v>9758</v>
      </c>
      <c r="B1520" s="1" t="s">
        <v>3696</v>
      </c>
      <c r="C1520" t="s">
        <v>3697</v>
      </c>
      <c r="D1520">
        <v>118.8</v>
      </c>
      <c r="E1520">
        <v>119.4</v>
      </c>
      <c r="F1520">
        <v>97.5</v>
      </c>
      <c r="G1520">
        <v>96.5</v>
      </c>
      <c r="H1520">
        <v>127.1</v>
      </c>
      <c r="I1520">
        <v>128.69999999999999</v>
      </c>
      <c r="J1520">
        <v>98.3</v>
      </c>
      <c r="K1520">
        <v>98.3</v>
      </c>
      <c r="L1520" s="1" t="s">
        <v>3696</v>
      </c>
      <c r="M1520" t="s">
        <v>1425</v>
      </c>
      <c r="N1520">
        <v>3</v>
      </c>
    </row>
    <row r="1521" spans="1:14" x14ac:dyDescent="0.25">
      <c r="A1521" s="3" t="str">
        <f>HYPERLINK("http://www.ncbi.nlm.nih.gov/gene/23732","23732")</f>
        <v>23732</v>
      </c>
      <c r="B1521" s="1" t="s">
        <v>3698</v>
      </c>
      <c r="C1521" t="s">
        <v>3699</v>
      </c>
      <c r="D1521">
        <v>125.9</v>
      </c>
      <c r="E1521">
        <v>134.6</v>
      </c>
      <c r="F1521">
        <v>79.7</v>
      </c>
      <c r="G1521">
        <v>69.099999999999994</v>
      </c>
      <c r="H1521">
        <v>103.9</v>
      </c>
      <c r="I1521">
        <v>106.3</v>
      </c>
      <c r="J1521">
        <v>99.2</v>
      </c>
      <c r="K1521">
        <v>95.8</v>
      </c>
      <c r="L1521" s="1" t="s">
        <v>3698</v>
      </c>
      <c r="M1521" t="s">
        <v>1220</v>
      </c>
      <c r="N1521">
        <v>4</v>
      </c>
    </row>
    <row r="1522" spans="1:14" x14ac:dyDescent="0.25">
      <c r="A1522" s="3" t="str">
        <f>HYPERLINK("http://www.ncbi.nlm.nih.gov/gene/25794","25794")</f>
        <v>25794</v>
      </c>
      <c r="B1522" s="1" t="s">
        <v>3700</v>
      </c>
      <c r="C1522" t="s">
        <v>3701</v>
      </c>
      <c r="D1522">
        <v>142.80000000000001</v>
      </c>
      <c r="E1522">
        <v>147.5</v>
      </c>
      <c r="F1522">
        <v>100</v>
      </c>
      <c r="G1522">
        <v>100</v>
      </c>
      <c r="H1522">
        <v>141.1</v>
      </c>
      <c r="I1522">
        <v>143.9</v>
      </c>
      <c r="J1522">
        <v>100</v>
      </c>
      <c r="K1522">
        <v>100</v>
      </c>
      <c r="L1522" s="1" t="s">
        <v>3700</v>
      </c>
      <c r="M1522" t="s">
        <v>22</v>
      </c>
      <c r="N1522">
        <v>1</v>
      </c>
    </row>
    <row r="1523" spans="1:14" x14ac:dyDescent="0.25">
      <c r="A1523" s="3" t="str">
        <f>HYPERLINK("http://www.ncbi.nlm.nih.gov/gene/2488","2488")</f>
        <v>2488</v>
      </c>
      <c r="B1523" s="1" t="s">
        <v>3702</v>
      </c>
      <c r="C1523" t="s">
        <v>3703</v>
      </c>
      <c r="D1523">
        <v>110.9</v>
      </c>
      <c r="E1523">
        <v>115.6</v>
      </c>
      <c r="F1523">
        <v>100</v>
      </c>
      <c r="G1523">
        <v>100</v>
      </c>
      <c r="H1523">
        <v>126.4</v>
      </c>
      <c r="I1523">
        <v>131.1</v>
      </c>
      <c r="J1523">
        <v>100</v>
      </c>
      <c r="K1523">
        <v>100</v>
      </c>
      <c r="L1523" s="1" t="s">
        <v>3702</v>
      </c>
      <c r="M1523" t="s">
        <v>3509</v>
      </c>
      <c r="N1523">
        <v>4</v>
      </c>
    </row>
    <row r="1524" spans="1:14" x14ac:dyDescent="0.25">
      <c r="A1524" s="3" t="str">
        <f>HYPERLINK("http://www.ncbi.nlm.nih.gov/gene/2492","2492")</f>
        <v>2492</v>
      </c>
      <c r="B1524" s="1" t="s">
        <v>3704</v>
      </c>
      <c r="C1524" t="s">
        <v>3705</v>
      </c>
      <c r="D1524">
        <v>109.7</v>
      </c>
      <c r="E1524">
        <v>91.9</v>
      </c>
      <c r="F1524">
        <v>99.5</v>
      </c>
      <c r="G1524">
        <v>97.2</v>
      </c>
      <c r="H1524">
        <v>147.9</v>
      </c>
      <c r="I1524">
        <v>151</v>
      </c>
      <c r="J1524">
        <v>100</v>
      </c>
      <c r="K1524">
        <v>100</v>
      </c>
      <c r="L1524" s="1" t="s">
        <v>3704</v>
      </c>
      <c r="M1524" t="s">
        <v>3706</v>
      </c>
      <c r="N1524">
        <v>3</v>
      </c>
    </row>
    <row r="1525" spans="1:14" x14ac:dyDescent="0.25">
      <c r="A1525" s="3" t="str">
        <f>HYPERLINK("http://www.ncbi.nlm.nih.gov/gene/401024","401024")</f>
        <v>401024</v>
      </c>
      <c r="B1525" s="1" t="s">
        <v>3707</v>
      </c>
      <c r="C1525" t="s">
        <v>3708</v>
      </c>
      <c r="D1525">
        <v>113.2</v>
      </c>
      <c r="E1525">
        <v>102.2</v>
      </c>
      <c r="F1525">
        <v>99.6</v>
      </c>
      <c r="G1525">
        <v>98.2</v>
      </c>
      <c r="H1525">
        <v>123.1</v>
      </c>
      <c r="I1525">
        <v>121</v>
      </c>
      <c r="J1525">
        <v>100</v>
      </c>
      <c r="K1525">
        <v>100</v>
      </c>
      <c r="L1525" s="1" t="s">
        <v>3707</v>
      </c>
      <c r="M1525" t="s">
        <v>59</v>
      </c>
      <c r="N1525">
        <v>1</v>
      </c>
    </row>
    <row r="1526" spans="1:14" x14ac:dyDescent="0.25">
      <c r="A1526" s="3" t="str">
        <f>HYPERLINK("http://www.ncbi.nlm.nih.gov/gene/10841","10841")</f>
        <v>10841</v>
      </c>
      <c r="B1526" s="1" t="s">
        <v>3709</v>
      </c>
      <c r="C1526" t="s">
        <v>3710</v>
      </c>
      <c r="D1526">
        <v>98.7</v>
      </c>
      <c r="E1526">
        <v>101.3</v>
      </c>
      <c r="F1526">
        <v>95.7</v>
      </c>
      <c r="G1526">
        <v>91</v>
      </c>
      <c r="H1526">
        <v>183.9</v>
      </c>
      <c r="I1526">
        <v>189.4</v>
      </c>
      <c r="J1526">
        <v>100</v>
      </c>
      <c r="K1526">
        <v>100</v>
      </c>
      <c r="L1526" s="1" t="s">
        <v>3709</v>
      </c>
      <c r="M1526" t="s">
        <v>38</v>
      </c>
      <c r="N1526">
        <v>4</v>
      </c>
    </row>
    <row r="1527" spans="1:14" x14ac:dyDescent="0.25">
      <c r="A1527" s="3" t="str">
        <f>HYPERLINK("http://www.ncbi.nlm.nih.gov/gene/2495","2495")</f>
        <v>2495</v>
      </c>
      <c r="B1527" s="1" t="s">
        <v>3711</v>
      </c>
      <c r="C1527" t="s">
        <v>3712</v>
      </c>
      <c r="D1527">
        <v>80.900000000000006</v>
      </c>
      <c r="E1527">
        <v>78.3</v>
      </c>
      <c r="F1527">
        <v>94</v>
      </c>
      <c r="G1527">
        <v>76.599999999999994</v>
      </c>
      <c r="H1527">
        <v>165.4</v>
      </c>
      <c r="I1527">
        <v>169.6</v>
      </c>
      <c r="J1527">
        <v>100</v>
      </c>
      <c r="K1527">
        <v>100</v>
      </c>
      <c r="L1527" s="1" t="s">
        <v>3711</v>
      </c>
      <c r="M1527" t="s">
        <v>62</v>
      </c>
      <c r="N1527">
        <v>2</v>
      </c>
    </row>
    <row r="1528" spans="1:14" x14ac:dyDescent="0.25">
      <c r="A1528" s="3" t="str">
        <f>HYPERLINK("http://www.ncbi.nlm.nih.gov/gene/2512","2512")</f>
        <v>2512</v>
      </c>
      <c r="B1528" s="1" t="s">
        <v>3713</v>
      </c>
      <c r="C1528" t="s">
        <v>3714</v>
      </c>
      <c r="D1528">
        <v>150.30000000000001</v>
      </c>
      <c r="E1528">
        <v>144.1</v>
      </c>
      <c r="F1528">
        <v>98.5</v>
      </c>
      <c r="G1528">
        <v>89.4</v>
      </c>
      <c r="H1528">
        <v>104</v>
      </c>
      <c r="I1528">
        <v>107</v>
      </c>
      <c r="J1528">
        <v>100</v>
      </c>
      <c r="K1528">
        <v>100</v>
      </c>
      <c r="L1528" s="1" t="s">
        <v>3713</v>
      </c>
      <c r="M1528" t="s">
        <v>3715</v>
      </c>
      <c r="N1528">
        <v>6</v>
      </c>
    </row>
    <row r="1529" spans="1:14" x14ac:dyDescent="0.25">
      <c r="A1529" s="3" t="str">
        <f>HYPERLINK("http://www.ncbi.nlm.nih.gov/gene/79068","79068")</f>
        <v>79068</v>
      </c>
      <c r="B1529" s="1" t="s">
        <v>3716</v>
      </c>
      <c r="C1529" t="s">
        <v>3717</v>
      </c>
      <c r="D1529">
        <v>110.4</v>
      </c>
      <c r="E1529">
        <v>115.2</v>
      </c>
      <c r="F1529">
        <v>83.8</v>
      </c>
      <c r="G1529">
        <v>83.7</v>
      </c>
      <c r="H1529">
        <v>138.19999999999999</v>
      </c>
      <c r="I1529">
        <v>140.5</v>
      </c>
      <c r="J1529">
        <v>94.2</v>
      </c>
      <c r="K1529">
        <v>94.2</v>
      </c>
      <c r="L1529" s="1" t="s">
        <v>3716</v>
      </c>
      <c r="M1529" t="s">
        <v>3718</v>
      </c>
      <c r="N1529">
        <v>4</v>
      </c>
    </row>
    <row r="1530" spans="1:14" x14ac:dyDescent="0.25">
      <c r="A1530" s="3" t="str">
        <f>HYPERLINK("http://www.ncbi.nlm.nih.gov/gene/24140","24140")</f>
        <v>24140</v>
      </c>
      <c r="B1530" s="1" t="s">
        <v>3719</v>
      </c>
      <c r="C1530" t="s">
        <v>3720</v>
      </c>
      <c r="D1530">
        <v>129.5</v>
      </c>
      <c r="E1530">
        <v>132</v>
      </c>
      <c r="F1530">
        <v>98</v>
      </c>
      <c r="G1530">
        <v>93.8</v>
      </c>
      <c r="H1530">
        <v>133.9</v>
      </c>
      <c r="I1530">
        <v>135.5</v>
      </c>
      <c r="J1530">
        <v>100</v>
      </c>
      <c r="K1530">
        <v>100</v>
      </c>
      <c r="L1530" s="1" t="s">
        <v>3719</v>
      </c>
      <c r="M1530" t="s">
        <v>322</v>
      </c>
      <c r="N1530">
        <v>2</v>
      </c>
    </row>
    <row r="1531" spans="1:14" x14ac:dyDescent="0.25">
      <c r="A1531" s="3" t="str">
        <f>HYPERLINK("http://www.ncbi.nlm.nih.gov/gene/2517","2517")</f>
        <v>2517</v>
      </c>
      <c r="B1531" s="1" t="s">
        <v>3721</v>
      </c>
      <c r="C1531" t="s">
        <v>3722</v>
      </c>
      <c r="D1531">
        <v>128.19999999999999</v>
      </c>
      <c r="E1531">
        <v>132.6</v>
      </c>
      <c r="F1531">
        <v>100</v>
      </c>
      <c r="G1531">
        <v>99.9</v>
      </c>
      <c r="H1531">
        <v>139.9</v>
      </c>
      <c r="I1531">
        <v>144.5</v>
      </c>
      <c r="J1531">
        <v>100</v>
      </c>
      <c r="K1531">
        <v>100</v>
      </c>
      <c r="L1531" s="1" t="s">
        <v>3721</v>
      </c>
      <c r="M1531" t="s">
        <v>941</v>
      </c>
      <c r="N1531">
        <v>6</v>
      </c>
    </row>
    <row r="1532" spans="1:14" x14ac:dyDescent="0.25">
      <c r="A1532" s="3" t="str">
        <f>HYPERLINK("http://www.ncbi.nlm.nih.gov/gene/2521","2521")</f>
        <v>2521</v>
      </c>
      <c r="B1532" s="1" t="s">
        <v>3723</v>
      </c>
      <c r="C1532" t="s">
        <v>3724</v>
      </c>
      <c r="D1532">
        <v>131.69999999999999</v>
      </c>
      <c r="E1532">
        <v>135.1</v>
      </c>
      <c r="F1532">
        <v>99.2</v>
      </c>
      <c r="G1532">
        <v>96.4</v>
      </c>
      <c r="H1532">
        <v>149.1</v>
      </c>
      <c r="I1532">
        <v>153.19999999999999</v>
      </c>
      <c r="J1532">
        <v>100</v>
      </c>
      <c r="K1532">
        <v>100</v>
      </c>
      <c r="L1532" s="1" t="s">
        <v>3723</v>
      </c>
      <c r="M1532" t="s">
        <v>617</v>
      </c>
      <c r="N1532">
        <v>2</v>
      </c>
    </row>
    <row r="1533" spans="1:14" x14ac:dyDescent="0.25">
      <c r="A1533" s="3" t="str">
        <f>HYPERLINK("http://www.ncbi.nlm.nih.gov/gene/2524","2524")</f>
        <v>2524</v>
      </c>
      <c r="B1533" s="1" t="s">
        <v>3725</v>
      </c>
      <c r="C1533" t="s">
        <v>3726</v>
      </c>
      <c r="D1533">
        <v>184.6</v>
      </c>
      <c r="E1533">
        <v>180.4</v>
      </c>
      <c r="F1533">
        <v>100</v>
      </c>
      <c r="G1533">
        <v>100</v>
      </c>
      <c r="H1533">
        <v>146.80000000000001</v>
      </c>
      <c r="I1533">
        <v>147.5</v>
      </c>
      <c r="J1533">
        <v>100</v>
      </c>
      <c r="K1533">
        <v>100</v>
      </c>
      <c r="L1533" s="1" t="s">
        <v>3725</v>
      </c>
      <c r="M1533" t="s">
        <v>93</v>
      </c>
      <c r="N1533">
        <v>2</v>
      </c>
    </row>
    <row r="1534" spans="1:14" x14ac:dyDescent="0.25">
      <c r="A1534" s="3" t="str">
        <f>HYPERLINK("http://www.ncbi.nlm.nih.gov/gene/2528","2528")</f>
        <v>2528</v>
      </c>
      <c r="B1534" s="1" t="s">
        <v>3727</v>
      </c>
      <c r="C1534" t="s">
        <v>3728</v>
      </c>
      <c r="D1534">
        <v>193.4</v>
      </c>
      <c r="E1534">
        <v>147.5</v>
      </c>
      <c r="F1534">
        <v>100</v>
      </c>
      <c r="G1534">
        <v>100</v>
      </c>
      <c r="H1534">
        <v>212.2</v>
      </c>
      <c r="I1534">
        <v>203.4</v>
      </c>
      <c r="J1534">
        <v>100</v>
      </c>
      <c r="K1534">
        <v>100</v>
      </c>
      <c r="L1534" s="1" t="s">
        <v>3727</v>
      </c>
      <c r="M1534" t="s">
        <v>3729</v>
      </c>
      <c r="N1534">
        <v>2</v>
      </c>
    </row>
    <row r="1535" spans="1:14" x14ac:dyDescent="0.25">
      <c r="A1535" s="3" t="str">
        <f>HYPERLINK("http://www.ncbi.nlm.nih.gov/gene/2530","2530")</f>
        <v>2530</v>
      </c>
      <c r="B1535" s="1" t="s">
        <v>3730</v>
      </c>
      <c r="C1535" t="s">
        <v>3731</v>
      </c>
      <c r="D1535">
        <v>141.1</v>
      </c>
      <c r="E1535">
        <v>150.1</v>
      </c>
      <c r="F1535">
        <v>100</v>
      </c>
      <c r="G1535">
        <v>99.2</v>
      </c>
      <c r="H1535">
        <v>131.69999999999999</v>
      </c>
      <c r="I1535">
        <v>136.80000000000001</v>
      </c>
      <c r="J1535">
        <v>100</v>
      </c>
      <c r="K1535">
        <v>100</v>
      </c>
      <c r="L1535" s="1" t="s">
        <v>3730</v>
      </c>
      <c r="M1535" t="s">
        <v>38</v>
      </c>
      <c r="N1535">
        <v>4</v>
      </c>
    </row>
    <row r="1536" spans="1:14" x14ac:dyDescent="0.25">
      <c r="A1536" s="3" t="str">
        <f>HYPERLINK("http://www.ncbi.nlm.nih.gov/gene/80199","80199")</f>
        <v>80199</v>
      </c>
      <c r="B1536" s="1" t="s">
        <v>3732</v>
      </c>
      <c r="C1536" t="s">
        <v>3733</v>
      </c>
      <c r="D1536">
        <v>135.1</v>
      </c>
      <c r="E1536">
        <v>137</v>
      </c>
      <c r="F1536">
        <v>100</v>
      </c>
      <c r="G1536">
        <v>100</v>
      </c>
      <c r="H1536">
        <v>140</v>
      </c>
      <c r="I1536">
        <v>143.30000000000001</v>
      </c>
      <c r="J1536">
        <v>100</v>
      </c>
      <c r="K1536">
        <v>100</v>
      </c>
      <c r="L1536" s="1" t="s">
        <v>3732</v>
      </c>
      <c r="M1536" t="s">
        <v>3734</v>
      </c>
      <c r="N1536">
        <v>3</v>
      </c>
    </row>
    <row r="1537" spans="1:14" x14ac:dyDescent="0.25">
      <c r="A1537" s="3" t="str">
        <f>HYPERLINK("http://www.ncbi.nlm.nih.gov/gene/2395","2395")</f>
        <v>2395</v>
      </c>
      <c r="B1537" s="1" t="s">
        <v>3735</v>
      </c>
      <c r="C1537" t="s">
        <v>3736</v>
      </c>
      <c r="D1537">
        <v>71.2</v>
      </c>
      <c r="E1537">
        <v>72.3</v>
      </c>
      <c r="F1537">
        <v>95.5</v>
      </c>
      <c r="G1537">
        <v>80.099999999999994</v>
      </c>
      <c r="H1537">
        <v>130</v>
      </c>
      <c r="I1537">
        <v>133.30000000000001</v>
      </c>
      <c r="J1537">
        <v>100</v>
      </c>
      <c r="K1537">
        <v>100</v>
      </c>
      <c r="L1537" s="1" t="s">
        <v>3735</v>
      </c>
      <c r="M1537" t="s">
        <v>3737</v>
      </c>
      <c r="N1537">
        <v>5</v>
      </c>
    </row>
    <row r="1538" spans="1:14" x14ac:dyDescent="0.25">
      <c r="A1538" s="3" t="str">
        <f>HYPERLINK("http://www.ncbi.nlm.nih.gov/gene/486","486")</f>
        <v>486</v>
      </c>
      <c r="B1538" s="1" t="s">
        <v>3738</v>
      </c>
      <c r="C1538" t="s">
        <v>3739</v>
      </c>
      <c r="D1538">
        <v>131.69999999999999</v>
      </c>
      <c r="E1538">
        <v>131.5</v>
      </c>
      <c r="F1538">
        <v>100</v>
      </c>
      <c r="G1538">
        <v>100</v>
      </c>
      <c r="H1538">
        <v>149.30000000000001</v>
      </c>
      <c r="I1538">
        <v>149.9</v>
      </c>
      <c r="J1538">
        <v>100</v>
      </c>
      <c r="K1538">
        <v>100</v>
      </c>
      <c r="L1538" s="1" t="s">
        <v>3738</v>
      </c>
      <c r="M1538" t="s">
        <v>3740</v>
      </c>
      <c r="N1538">
        <v>3</v>
      </c>
    </row>
    <row r="1539" spans="1:14" x14ac:dyDescent="0.25">
      <c r="A1539" s="3" t="str">
        <f>HYPERLINK("http://www.ncbi.nlm.nih.gov/gene/2533","2533")</f>
        <v>2533</v>
      </c>
      <c r="B1539" s="1" t="s">
        <v>3741</v>
      </c>
      <c r="C1539" t="s">
        <v>3742</v>
      </c>
      <c r="D1539">
        <v>116.5</v>
      </c>
      <c r="E1539">
        <v>120.7</v>
      </c>
      <c r="F1539">
        <v>99.4</v>
      </c>
      <c r="G1539">
        <v>97</v>
      </c>
      <c r="H1539">
        <v>142.6</v>
      </c>
      <c r="I1539">
        <v>144.80000000000001</v>
      </c>
      <c r="J1539">
        <v>100</v>
      </c>
      <c r="K1539">
        <v>100</v>
      </c>
      <c r="L1539" s="1" t="s">
        <v>3741</v>
      </c>
      <c r="M1539" t="s">
        <v>1563</v>
      </c>
      <c r="N1539">
        <v>2</v>
      </c>
    </row>
    <row r="1540" spans="1:14" x14ac:dyDescent="0.25">
      <c r="A1540" s="3" t="str">
        <f>HYPERLINK("http://www.ncbi.nlm.nih.gov/gene/79443","79443")</f>
        <v>79443</v>
      </c>
      <c r="B1540" s="1" t="s">
        <v>3743</v>
      </c>
      <c r="C1540" t="s">
        <v>3744</v>
      </c>
      <c r="D1540">
        <v>131.6</v>
      </c>
      <c r="E1540">
        <v>124.7</v>
      </c>
      <c r="F1540">
        <v>100</v>
      </c>
      <c r="G1540">
        <v>99.9</v>
      </c>
      <c r="H1540">
        <v>147</v>
      </c>
      <c r="I1540">
        <v>148.9</v>
      </c>
      <c r="J1540">
        <v>100</v>
      </c>
      <c r="K1540">
        <v>100</v>
      </c>
      <c r="L1540" s="1" t="s">
        <v>3743</v>
      </c>
      <c r="M1540" t="s">
        <v>56</v>
      </c>
      <c r="N1540">
        <v>3</v>
      </c>
    </row>
    <row r="1541" spans="1:14" x14ac:dyDescent="0.25">
      <c r="A1541" s="3" t="str">
        <f>HYPERLINK("http://www.ncbi.nlm.nih.gov/gene/8321","8321")</f>
        <v>8321</v>
      </c>
      <c r="B1541" s="1" t="s">
        <v>3745</v>
      </c>
      <c r="D1541">
        <v>140.6</v>
      </c>
      <c r="E1541">
        <v>151.5</v>
      </c>
      <c r="F1541">
        <v>89.6</v>
      </c>
      <c r="G1541">
        <v>85.3</v>
      </c>
      <c r="H1541">
        <v>166.7</v>
      </c>
      <c r="I1541">
        <v>169.9</v>
      </c>
      <c r="J1541">
        <v>100</v>
      </c>
      <c r="K1541">
        <v>100</v>
      </c>
      <c r="L1541" s="1" t="s">
        <v>3745</v>
      </c>
      <c r="M1541" t="s">
        <v>661</v>
      </c>
      <c r="N1541">
        <v>2</v>
      </c>
    </row>
    <row r="1542" spans="1:14" x14ac:dyDescent="0.25">
      <c r="A1542" s="3" t="str">
        <f>HYPERLINK("http://www.ncbi.nlm.nih.gov/gene/2535","2535")</f>
        <v>2535</v>
      </c>
      <c r="B1542" s="1" t="s">
        <v>3746</v>
      </c>
      <c r="C1542" t="s">
        <v>3747</v>
      </c>
      <c r="D1542">
        <v>133.5</v>
      </c>
      <c r="E1542">
        <v>145</v>
      </c>
      <c r="F1542">
        <v>99.9</v>
      </c>
      <c r="G1542">
        <v>98.2</v>
      </c>
      <c r="H1542">
        <v>177.1</v>
      </c>
      <c r="I1542">
        <v>178.5</v>
      </c>
      <c r="J1542">
        <v>100</v>
      </c>
      <c r="K1542">
        <v>100</v>
      </c>
      <c r="L1542" s="1" t="s">
        <v>3746</v>
      </c>
      <c r="M1542" t="s">
        <v>3748</v>
      </c>
      <c r="N1542">
        <v>3</v>
      </c>
    </row>
    <row r="1543" spans="1:14" x14ac:dyDescent="0.25">
      <c r="A1543" s="3" t="str">
        <f>HYPERLINK("http://www.ncbi.nlm.nih.gov/gene/8322","8322")</f>
        <v>8322</v>
      </c>
      <c r="B1543" s="1" t="s">
        <v>3749</v>
      </c>
      <c r="C1543" t="s">
        <v>3750</v>
      </c>
      <c r="D1543">
        <v>212.1</v>
      </c>
      <c r="E1543">
        <v>188.5</v>
      </c>
      <c r="F1543">
        <v>100</v>
      </c>
      <c r="G1543">
        <v>100</v>
      </c>
      <c r="H1543">
        <v>159.5</v>
      </c>
      <c r="I1543">
        <v>161.80000000000001</v>
      </c>
      <c r="J1543">
        <v>100</v>
      </c>
      <c r="K1543">
        <v>100</v>
      </c>
      <c r="L1543" s="1" t="s">
        <v>3749</v>
      </c>
      <c r="M1543" t="s">
        <v>302</v>
      </c>
      <c r="N1543">
        <v>2</v>
      </c>
    </row>
    <row r="1544" spans="1:14" x14ac:dyDescent="0.25">
      <c r="A1544" s="3" t="str">
        <f>HYPERLINK("http://www.ncbi.nlm.nih.gov/gene/8323","8323")</f>
        <v>8323</v>
      </c>
      <c r="B1544" s="1" t="s">
        <v>3751</v>
      </c>
      <c r="C1544" t="s">
        <v>3752</v>
      </c>
      <c r="D1544">
        <v>211.1</v>
      </c>
      <c r="E1544">
        <v>212</v>
      </c>
      <c r="F1544">
        <v>100</v>
      </c>
      <c r="G1544">
        <v>100</v>
      </c>
      <c r="H1544">
        <v>149.9</v>
      </c>
      <c r="I1544">
        <v>154.6</v>
      </c>
      <c r="J1544">
        <v>100</v>
      </c>
      <c r="K1544">
        <v>100</v>
      </c>
      <c r="L1544" s="1" t="s">
        <v>3751</v>
      </c>
      <c r="M1544" t="s">
        <v>246</v>
      </c>
      <c r="N1544">
        <v>3</v>
      </c>
    </row>
    <row r="1545" spans="1:14" x14ac:dyDescent="0.25">
      <c r="A1545" s="3" t="str">
        <f>HYPERLINK("http://www.ncbi.nlm.nih.gov/gene/2538","2538")</f>
        <v>2538</v>
      </c>
      <c r="B1545" s="1" t="s">
        <v>3753</v>
      </c>
      <c r="C1545" t="s">
        <v>3754</v>
      </c>
      <c r="D1545">
        <v>192.5</v>
      </c>
      <c r="E1545">
        <v>185.9</v>
      </c>
      <c r="F1545">
        <v>100</v>
      </c>
      <c r="G1545">
        <v>100</v>
      </c>
      <c r="H1545">
        <v>146.30000000000001</v>
      </c>
      <c r="I1545">
        <v>149.4</v>
      </c>
      <c r="J1545">
        <v>100</v>
      </c>
      <c r="K1545">
        <v>100</v>
      </c>
      <c r="L1545" s="1" t="s">
        <v>3755</v>
      </c>
      <c r="M1545" t="s">
        <v>3756</v>
      </c>
      <c r="N1545">
        <v>5</v>
      </c>
    </row>
    <row r="1546" spans="1:14" x14ac:dyDescent="0.25">
      <c r="A1546" s="3" t="str">
        <f>HYPERLINK("http://www.ncbi.nlm.nih.gov/gene/92579","92579")</f>
        <v>92579</v>
      </c>
      <c r="B1546" s="1" t="s">
        <v>3757</v>
      </c>
      <c r="C1546" t="s">
        <v>3758</v>
      </c>
      <c r="D1546">
        <v>109.4</v>
      </c>
      <c r="E1546">
        <v>113.2</v>
      </c>
      <c r="F1546">
        <v>100</v>
      </c>
      <c r="G1546">
        <v>99.9</v>
      </c>
      <c r="H1546">
        <v>131.69999999999999</v>
      </c>
      <c r="I1546">
        <v>135.5</v>
      </c>
      <c r="J1546">
        <v>100</v>
      </c>
      <c r="K1546">
        <v>100</v>
      </c>
      <c r="L1546" s="1" t="s">
        <v>3757</v>
      </c>
      <c r="M1546" t="s">
        <v>3759</v>
      </c>
      <c r="N1546">
        <v>6</v>
      </c>
    </row>
    <row r="1547" spans="1:14" x14ac:dyDescent="0.25">
      <c r="A1547" s="3" t="str">
        <f>HYPERLINK("http://www.ncbi.nlm.nih.gov/gene/2539","2539")</f>
        <v>2539</v>
      </c>
      <c r="B1547" s="1" t="s">
        <v>3760</v>
      </c>
      <c r="C1547" t="s">
        <v>3761</v>
      </c>
      <c r="D1547">
        <v>115.5</v>
      </c>
      <c r="E1547">
        <v>114.5</v>
      </c>
      <c r="F1547">
        <v>99.3</v>
      </c>
      <c r="G1547">
        <v>98</v>
      </c>
      <c r="H1547">
        <v>142.4</v>
      </c>
      <c r="I1547">
        <v>146.19999999999999</v>
      </c>
      <c r="J1547">
        <v>100</v>
      </c>
      <c r="K1547">
        <v>100</v>
      </c>
      <c r="L1547" s="1" t="s">
        <v>3760</v>
      </c>
      <c r="M1547" t="s">
        <v>3762</v>
      </c>
      <c r="N1547">
        <v>3</v>
      </c>
    </row>
    <row r="1548" spans="1:14" x14ac:dyDescent="0.25">
      <c r="A1548" s="3" t="str">
        <f>HYPERLINK("http://www.ncbi.nlm.nih.gov/gene/2548","2548")</f>
        <v>2548</v>
      </c>
      <c r="B1548" s="1" t="s">
        <v>3763</v>
      </c>
      <c r="C1548" t="s">
        <v>3764</v>
      </c>
      <c r="D1548">
        <v>149.9</v>
      </c>
      <c r="E1548">
        <v>156.19999999999999</v>
      </c>
      <c r="F1548">
        <v>100</v>
      </c>
      <c r="G1548">
        <v>99.9</v>
      </c>
      <c r="H1548">
        <v>151.6</v>
      </c>
      <c r="I1548">
        <v>155.19999999999999</v>
      </c>
      <c r="J1548">
        <v>100</v>
      </c>
      <c r="K1548">
        <v>100</v>
      </c>
      <c r="L1548" s="1" t="s">
        <v>3763</v>
      </c>
      <c r="M1548" t="s">
        <v>131</v>
      </c>
      <c r="N1548">
        <v>5</v>
      </c>
    </row>
    <row r="1549" spans="1:14" x14ac:dyDescent="0.25">
      <c r="A1549" s="3" t="str">
        <f>HYPERLINK("http://www.ncbi.nlm.nih.gov/gene/2549","2549")</f>
        <v>2549</v>
      </c>
      <c r="B1549" s="1" t="s">
        <v>3765</v>
      </c>
      <c r="C1549" t="s">
        <v>3766</v>
      </c>
      <c r="D1549">
        <v>187.2</v>
      </c>
      <c r="E1549">
        <v>196</v>
      </c>
      <c r="F1549">
        <v>100</v>
      </c>
      <c r="G1549">
        <v>99.4</v>
      </c>
      <c r="H1549">
        <v>137.80000000000001</v>
      </c>
      <c r="I1549">
        <v>137.80000000000001</v>
      </c>
      <c r="J1549">
        <v>100</v>
      </c>
      <c r="K1549">
        <v>100</v>
      </c>
      <c r="L1549" s="1" t="s">
        <v>3765</v>
      </c>
      <c r="M1549" t="s">
        <v>269</v>
      </c>
      <c r="N1549">
        <v>3</v>
      </c>
    </row>
    <row r="1550" spans="1:14" x14ac:dyDescent="0.25">
      <c r="A1550" s="3" t="str">
        <f>HYPERLINK("http://www.ncbi.nlm.nih.gov/gene/9568","9568")</f>
        <v>9568</v>
      </c>
      <c r="B1550" s="1" t="s">
        <v>3767</v>
      </c>
      <c r="C1550" t="s">
        <v>3768</v>
      </c>
      <c r="D1550">
        <v>121.6</v>
      </c>
      <c r="E1550">
        <v>127.4</v>
      </c>
      <c r="F1550">
        <v>96.2</v>
      </c>
      <c r="G1550">
        <v>92</v>
      </c>
      <c r="H1550">
        <v>137.30000000000001</v>
      </c>
      <c r="I1550">
        <v>141.6</v>
      </c>
      <c r="J1550">
        <v>99.1</v>
      </c>
      <c r="K1550">
        <v>98.4</v>
      </c>
      <c r="L1550" s="1" t="s">
        <v>3767</v>
      </c>
      <c r="M1550" t="s">
        <v>189</v>
      </c>
      <c r="N1550">
        <v>2</v>
      </c>
    </row>
    <row r="1551" spans="1:14" x14ac:dyDescent="0.25">
      <c r="A1551" s="3" t="str">
        <f>HYPERLINK("http://www.ncbi.nlm.nih.gov/gene/2554","2554")</f>
        <v>2554</v>
      </c>
      <c r="B1551" s="1" t="s">
        <v>3769</v>
      </c>
      <c r="C1551" t="s">
        <v>3770</v>
      </c>
      <c r="D1551">
        <v>192</v>
      </c>
      <c r="E1551">
        <v>197</v>
      </c>
      <c r="F1551">
        <v>100</v>
      </c>
      <c r="G1551">
        <v>100</v>
      </c>
      <c r="H1551">
        <v>151.30000000000001</v>
      </c>
      <c r="I1551">
        <v>155.6</v>
      </c>
      <c r="J1551">
        <v>100</v>
      </c>
      <c r="K1551">
        <v>100</v>
      </c>
      <c r="L1551" s="1" t="s">
        <v>3769</v>
      </c>
      <c r="M1551" t="s">
        <v>995</v>
      </c>
      <c r="N1551">
        <v>3</v>
      </c>
    </row>
    <row r="1552" spans="1:14" x14ac:dyDescent="0.25">
      <c r="A1552" s="3" t="str">
        <f>HYPERLINK("http://www.ncbi.nlm.nih.gov/gene/2555","2555")</f>
        <v>2555</v>
      </c>
      <c r="B1552" s="1" t="s">
        <v>3771</v>
      </c>
      <c r="C1552" t="s">
        <v>3772</v>
      </c>
      <c r="D1552">
        <v>172.7</v>
      </c>
      <c r="E1552">
        <v>180.5</v>
      </c>
      <c r="F1552">
        <v>99.7</v>
      </c>
      <c r="G1552">
        <v>98.6</v>
      </c>
      <c r="H1552">
        <v>139.19999999999999</v>
      </c>
      <c r="I1552">
        <v>143.6</v>
      </c>
      <c r="J1552">
        <v>100</v>
      </c>
      <c r="K1552">
        <v>100</v>
      </c>
      <c r="L1552" s="1" t="s">
        <v>3771</v>
      </c>
      <c r="M1552" t="s">
        <v>189</v>
      </c>
      <c r="N1552">
        <v>2</v>
      </c>
    </row>
    <row r="1553" spans="1:14" x14ac:dyDescent="0.25">
      <c r="A1553" s="3" t="str">
        <f>HYPERLINK("http://www.ncbi.nlm.nih.gov/gene/2556","2556")</f>
        <v>2556</v>
      </c>
      <c r="B1553" s="1" t="s">
        <v>3773</v>
      </c>
      <c r="D1553">
        <v>91.5</v>
      </c>
      <c r="E1553">
        <v>94.4</v>
      </c>
      <c r="F1553">
        <v>98.7</v>
      </c>
      <c r="G1553">
        <v>94.4</v>
      </c>
      <c r="H1553">
        <v>126</v>
      </c>
      <c r="I1553">
        <v>129.4</v>
      </c>
      <c r="J1553">
        <v>99.9</v>
      </c>
      <c r="K1553">
        <v>98.9</v>
      </c>
      <c r="L1553" s="1" t="s">
        <v>3773</v>
      </c>
      <c r="M1553" t="s">
        <v>728</v>
      </c>
      <c r="N1553">
        <v>2</v>
      </c>
    </row>
    <row r="1554" spans="1:14" x14ac:dyDescent="0.25">
      <c r="A1554" s="3" t="str">
        <f>HYPERLINK("http://www.ncbi.nlm.nih.gov/gene/2558","2558")</f>
        <v>2558</v>
      </c>
      <c r="B1554" s="1" t="s">
        <v>3774</v>
      </c>
      <c r="C1554" t="s">
        <v>3775</v>
      </c>
      <c r="D1554">
        <v>159.4</v>
      </c>
      <c r="E1554">
        <v>169.2</v>
      </c>
      <c r="F1554">
        <v>100</v>
      </c>
      <c r="G1554">
        <v>99.9</v>
      </c>
      <c r="H1554">
        <v>146.80000000000001</v>
      </c>
      <c r="I1554">
        <v>150.5</v>
      </c>
      <c r="J1554">
        <v>100</v>
      </c>
      <c r="K1554">
        <v>100</v>
      </c>
      <c r="L1554" s="1" t="s">
        <v>3774</v>
      </c>
      <c r="M1554" t="s">
        <v>189</v>
      </c>
      <c r="N1554">
        <v>2</v>
      </c>
    </row>
    <row r="1555" spans="1:14" x14ac:dyDescent="0.25">
      <c r="A1555" s="3" t="str">
        <f>HYPERLINK("http://www.ncbi.nlm.nih.gov/gene/2560","2560")</f>
        <v>2560</v>
      </c>
      <c r="B1555" s="1" t="s">
        <v>3776</v>
      </c>
      <c r="C1555" t="s">
        <v>3777</v>
      </c>
      <c r="D1555">
        <v>200</v>
      </c>
      <c r="E1555">
        <v>204.2</v>
      </c>
      <c r="F1555">
        <v>100</v>
      </c>
      <c r="G1555">
        <v>100</v>
      </c>
      <c r="H1555">
        <v>142.19999999999999</v>
      </c>
      <c r="I1555">
        <v>145.80000000000001</v>
      </c>
      <c r="J1555">
        <v>100</v>
      </c>
      <c r="K1555">
        <v>100</v>
      </c>
      <c r="L1555" s="1" t="s">
        <v>3776</v>
      </c>
      <c r="M1555" t="s">
        <v>189</v>
      </c>
      <c r="N1555">
        <v>2</v>
      </c>
    </row>
    <row r="1556" spans="1:14" x14ac:dyDescent="0.25">
      <c r="A1556" s="3" t="str">
        <f>HYPERLINK("http://www.ncbi.nlm.nih.gov/gene/2561","2561")</f>
        <v>2561</v>
      </c>
      <c r="B1556" s="1" t="s">
        <v>3778</v>
      </c>
      <c r="C1556" t="s">
        <v>3779</v>
      </c>
      <c r="D1556">
        <v>152.69999999999999</v>
      </c>
      <c r="E1556">
        <v>157</v>
      </c>
      <c r="F1556">
        <v>100</v>
      </c>
      <c r="G1556">
        <v>99.9</v>
      </c>
      <c r="H1556">
        <v>139.4</v>
      </c>
      <c r="I1556">
        <v>142.30000000000001</v>
      </c>
      <c r="J1556">
        <v>100</v>
      </c>
      <c r="K1556">
        <v>100</v>
      </c>
      <c r="L1556" s="1" t="s">
        <v>3778</v>
      </c>
      <c r="M1556" t="s">
        <v>189</v>
      </c>
      <c r="N1556">
        <v>2</v>
      </c>
    </row>
    <row r="1557" spans="1:14" x14ac:dyDescent="0.25">
      <c r="A1557" s="3" t="str">
        <f>HYPERLINK("http://www.ncbi.nlm.nih.gov/gene/2562","2562")</f>
        <v>2562</v>
      </c>
      <c r="B1557" s="1" t="s">
        <v>3780</v>
      </c>
      <c r="C1557" t="s">
        <v>3781</v>
      </c>
      <c r="D1557">
        <v>143.30000000000001</v>
      </c>
      <c r="E1557">
        <v>147.9</v>
      </c>
      <c r="F1557">
        <v>99.6</v>
      </c>
      <c r="G1557">
        <v>98.2</v>
      </c>
      <c r="H1557">
        <v>141.1</v>
      </c>
      <c r="I1557">
        <v>146.19999999999999</v>
      </c>
      <c r="J1557">
        <v>100</v>
      </c>
      <c r="K1557">
        <v>100</v>
      </c>
      <c r="L1557" s="1" t="s">
        <v>3780</v>
      </c>
      <c r="M1557" t="s">
        <v>995</v>
      </c>
      <c r="N1557">
        <v>3</v>
      </c>
    </row>
    <row r="1558" spans="1:14" x14ac:dyDescent="0.25">
      <c r="A1558" s="3" t="str">
        <f>HYPERLINK("http://www.ncbi.nlm.nih.gov/gene/2566","2566")</f>
        <v>2566</v>
      </c>
      <c r="B1558" s="1" t="s">
        <v>3782</v>
      </c>
      <c r="C1558" t="s">
        <v>3783</v>
      </c>
      <c r="D1558">
        <v>159.9</v>
      </c>
      <c r="E1558">
        <v>166.9</v>
      </c>
      <c r="F1558">
        <v>90.8</v>
      </c>
      <c r="G1558">
        <v>90.2</v>
      </c>
      <c r="H1558">
        <v>144.4</v>
      </c>
      <c r="I1558">
        <v>148.80000000000001</v>
      </c>
      <c r="J1558">
        <v>93</v>
      </c>
      <c r="K1558">
        <v>93</v>
      </c>
      <c r="L1558" s="1" t="s">
        <v>3782</v>
      </c>
      <c r="M1558" t="s">
        <v>995</v>
      </c>
      <c r="N1558">
        <v>3</v>
      </c>
    </row>
    <row r="1559" spans="1:14" x14ac:dyDescent="0.25">
      <c r="A1559" s="3" t="str">
        <f>HYPERLINK("http://www.ncbi.nlm.nih.gov/gene/2571","2571")</f>
        <v>2571</v>
      </c>
      <c r="B1559" s="1" t="s">
        <v>3784</v>
      </c>
      <c r="C1559" t="s">
        <v>3785</v>
      </c>
      <c r="D1559">
        <v>138.30000000000001</v>
      </c>
      <c r="E1559">
        <v>141.6</v>
      </c>
      <c r="F1559">
        <v>100</v>
      </c>
      <c r="G1559">
        <v>99.9</v>
      </c>
      <c r="H1559">
        <v>134.69999999999999</v>
      </c>
      <c r="I1559">
        <v>137.80000000000001</v>
      </c>
      <c r="J1559">
        <v>100</v>
      </c>
      <c r="K1559">
        <v>100</v>
      </c>
      <c r="L1559" s="1" t="s">
        <v>3784</v>
      </c>
      <c r="M1559" t="s">
        <v>38</v>
      </c>
      <c r="N1559">
        <v>4</v>
      </c>
    </row>
    <row r="1560" spans="1:14" x14ac:dyDescent="0.25">
      <c r="A1560" s="3" t="str">
        <f>HYPERLINK("http://www.ncbi.nlm.nih.gov/gene/51083","51083")</f>
        <v>51083</v>
      </c>
      <c r="B1560" s="1" t="s">
        <v>3786</v>
      </c>
      <c r="C1560" t="s">
        <v>3787</v>
      </c>
      <c r="D1560">
        <v>191.9</v>
      </c>
      <c r="E1560">
        <v>194.1</v>
      </c>
      <c r="F1560">
        <v>100</v>
      </c>
      <c r="G1560">
        <v>99.8</v>
      </c>
      <c r="H1560">
        <v>149.4</v>
      </c>
      <c r="I1560">
        <v>151.19999999999999</v>
      </c>
      <c r="J1560">
        <v>100</v>
      </c>
      <c r="K1560">
        <v>100</v>
      </c>
      <c r="L1560" s="1" t="s">
        <v>3786</v>
      </c>
      <c r="M1560" t="s">
        <v>285</v>
      </c>
      <c r="N1560">
        <v>1</v>
      </c>
    </row>
    <row r="1561" spans="1:14" x14ac:dyDescent="0.25">
      <c r="A1561" s="3" t="str">
        <f>HYPERLINK("http://www.ncbi.nlm.nih.gov/gene/2581","2581")</f>
        <v>2581</v>
      </c>
      <c r="B1561" s="1" t="s">
        <v>3788</v>
      </c>
      <c r="D1561">
        <v>113.5</v>
      </c>
      <c r="E1561">
        <v>117.3</v>
      </c>
      <c r="F1561">
        <v>99.8</v>
      </c>
      <c r="G1561">
        <v>98.3</v>
      </c>
      <c r="H1561">
        <v>130.80000000000001</v>
      </c>
      <c r="I1561">
        <v>134.4</v>
      </c>
      <c r="J1561">
        <v>100</v>
      </c>
      <c r="K1561">
        <v>100</v>
      </c>
      <c r="L1561" s="1" t="s">
        <v>3788</v>
      </c>
      <c r="M1561" t="s">
        <v>3789</v>
      </c>
      <c r="N1561">
        <v>6</v>
      </c>
    </row>
    <row r="1562" spans="1:14" x14ac:dyDescent="0.25">
      <c r="A1562" s="3" t="str">
        <f>HYPERLINK("http://www.ncbi.nlm.nih.gov/gene/2582","2582")</f>
        <v>2582</v>
      </c>
      <c r="B1562" s="1" t="s">
        <v>3790</v>
      </c>
      <c r="C1562" t="s">
        <v>3791</v>
      </c>
      <c r="D1562">
        <v>146.1</v>
      </c>
      <c r="E1562">
        <v>149.9</v>
      </c>
      <c r="F1562">
        <v>100</v>
      </c>
      <c r="G1562">
        <v>100</v>
      </c>
      <c r="H1562">
        <v>125.4</v>
      </c>
      <c r="I1562">
        <v>128.1</v>
      </c>
      <c r="J1562">
        <v>100</v>
      </c>
      <c r="K1562">
        <v>100</v>
      </c>
      <c r="L1562" s="1" t="s">
        <v>3790</v>
      </c>
      <c r="M1562" t="s">
        <v>38</v>
      </c>
      <c r="N1562">
        <v>4</v>
      </c>
    </row>
    <row r="1563" spans="1:14" x14ac:dyDescent="0.25">
      <c r="A1563" s="3" t="str">
        <f>HYPERLINK("http://www.ncbi.nlm.nih.gov/gene/2584","2584")</f>
        <v>2584</v>
      </c>
      <c r="B1563" s="1" t="s">
        <v>3792</v>
      </c>
      <c r="C1563" t="s">
        <v>3793</v>
      </c>
      <c r="D1563">
        <v>137.19999999999999</v>
      </c>
      <c r="E1563">
        <v>142.1</v>
      </c>
      <c r="F1563">
        <v>100</v>
      </c>
      <c r="G1563">
        <v>99.1</v>
      </c>
      <c r="H1563">
        <v>127.3</v>
      </c>
      <c r="I1563">
        <v>130.80000000000001</v>
      </c>
      <c r="J1563">
        <v>100</v>
      </c>
      <c r="K1563">
        <v>100</v>
      </c>
      <c r="L1563" s="1" t="s">
        <v>3792</v>
      </c>
      <c r="M1563" t="s">
        <v>436</v>
      </c>
      <c r="N1563">
        <v>4</v>
      </c>
    </row>
    <row r="1564" spans="1:14" x14ac:dyDescent="0.25">
      <c r="A1564" s="3" t="str">
        <f>HYPERLINK("http://www.ncbi.nlm.nih.gov/gene/130589","130589")</f>
        <v>130589</v>
      </c>
      <c r="B1564" s="1" t="s">
        <v>3794</v>
      </c>
      <c r="C1564" t="s">
        <v>3795</v>
      </c>
      <c r="D1564">
        <v>101.5</v>
      </c>
      <c r="E1564">
        <v>106.1</v>
      </c>
      <c r="F1564">
        <v>100</v>
      </c>
      <c r="G1564">
        <v>99.9</v>
      </c>
      <c r="H1564">
        <v>126.5</v>
      </c>
      <c r="I1564">
        <v>130.30000000000001</v>
      </c>
      <c r="J1564">
        <v>100</v>
      </c>
      <c r="K1564">
        <v>100</v>
      </c>
      <c r="L1564" s="1" t="s">
        <v>3794</v>
      </c>
      <c r="M1564" t="s">
        <v>3796</v>
      </c>
      <c r="N1564">
        <v>3</v>
      </c>
    </row>
    <row r="1565" spans="1:14" x14ac:dyDescent="0.25">
      <c r="A1565" s="3" t="str">
        <f>HYPERLINK("http://www.ncbi.nlm.nih.gov/gene/2588","2588")</f>
        <v>2588</v>
      </c>
      <c r="B1565" s="1" t="s">
        <v>3797</v>
      </c>
      <c r="C1565" t="s">
        <v>3798</v>
      </c>
      <c r="D1565">
        <v>112.7</v>
      </c>
      <c r="E1565">
        <v>115.7</v>
      </c>
      <c r="F1565">
        <v>100</v>
      </c>
      <c r="G1565">
        <v>99.8</v>
      </c>
      <c r="H1565">
        <v>128.5</v>
      </c>
      <c r="I1565">
        <v>131.9</v>
      </c>
      <c r="J1565">
        <v>100</v>
      </c>
      <c r="K1565">
        <v>100</v>
      </c>
      <c r="L1565" s="1" t="s">
        <v>3797</v>
      </c>
      <c r="M1565" t="s">
        <v>3799</v>
      </c>
      <c r="N1565">
        <v>5</v>
      </c>
    </row>
    <row r="1566" spans="1:14" x14ac:dyDescent="0.25">
      <c r="A1566" s="3" t="str">
        <f>HYPERLINK("http://www.ncbi.nlm.nih.gov/gene/79695","79695")</f>
        <v>79695</v>
      </c>
      <c r="B1566" s="1" t="s">
        <v>3800</v>
      </c>
      <c r="C1566" t="s">
        <v>3801</v>
      </c>
      <c r="D1566">
        <v>94.8</v>
      </c>
      <c r="E1566">
        <v>99.4</v>
      </c>
      <c r="F1566">
        <v>85.8</v>
      </c>
      <c r="G1566">
        <v>82.7</v>
      </c>
      <c r="H1566">
        <v>116.3</v>
      </c>
      <c r="I1566">
        <v>117.8</v>
      </c>
      <c r="J1566">
        <v>97.8</v>
      </c>
      <c r="K1566">
        <v>94.6</v>
      </c>
      <c r="L1566" s="1" t="s">
        <v>3800</v>
      </c>
      <c r="M1566" t="s">
        <v>19</v>
      </c>
      <c r="N1566">
        <v>2</v>
      </c>
    </row>
    <row r="1567" spans="1:14" x14ac:dyDescent="0.25">
      <c r="A1567" s="3" t="str">
        <f>HYPERLINK("http://www.ncbi.nlm.nih.gov/gene/2590","2590")</f>
        <v>2590</v>
      </c>
      <c r="B1567" s="1" t="s">
        <v>3802</v>
      </c>
      <c r="C1567" t="s">
        <v>3803</v>
      </c>
      <c r="D1567">
        <v>127.6</v>
      </c>
      <c r="E1567">
        <v>133</v>
      </c>
      <c r="F1567">
        <v>99.6</v>
      </c>
      <c r="G1567">
        <v>97</v>
      </c>
      <c r="H1567">
        <v>132.80000000000001</v>
      </c>
      <c r="I1567">
        <v>136</v>
      </c>
      <c r="J1567">
        <v>100</v>
      </c>
      <c r="K1567">
        <v>100</v>
      </c>
      <c r="L1567" s="1" t="s">
        <v>3802</v>
      </c>
      <c r="M1567" t="s">
        <v>38</v>
      </c>
      <c r="N1567">
        <v>4</v>
      </c>
    </row>
    <row r="1568" spans="1:14" x14ac:dyDescent="0.25">
      <c r="A1568" s="3" t="str">
        <f>HYPERLINK("http://www.ncbi.nlm.nih.gov/gene/2591","2591")</f>
        <v>2591</v>
      </c>
      <c r="B1568" s="1" t="s">
        <v>3804</v>
      </c>
      <c r="C1568" t="s">
        <v>3805</v>
      </c>
      <c r="D1568">
        <v>142.69999999999999</v>
      </c>
      <c r="E1568">
        <v>149.69999999999999</v>
      </c>
      <c r="F1568">
        <v>99.8</v>
      </c>
      <c r="G1568">
        <v>99</v>
      </c>
      <c r="H1568">
        <v>144</v>
      </c>
      <c r="I1568">
        <v>148.69999999999999</v>
      </c>
      <c r="J1568">
        <v>100</v>
      </c>
      <c r="K1568">
        <v>100</v>
      </c>
      <c r="L1568" s="1" t="s">
        <v>3804</v>
      </c>
      <c r="M1568" t="s">
        <v>3806</v>
      </c>
      <c r="N1568">
        <v>6</v>
      </c>
    </row>
    <row r="1569" spans="1:14" x14ac:dyDescent="0.25">
      <c r="A1569" s="3" t="str">
        <f>HYPERLINK("http://www.ncbi.nlm.nih.gov/gene/2592","2592")</f>
        <v>2592</v>
      </c>
      <c r="B1569" s="1" t="s">
        <v>3807</v>
      </c>
      <c r="D1569">
        <v>164.1</v>
      </c>
      <c r="E1569">
        <v>167.6</v>
      </c>
      <c r="F1569">
        <v>100</v>
      </c>
      <c r="G1569">
        <v>99.7</v>
      </c>
      <c r="H1569">
        <v>150.4</v>
      </c>
      <c r="I1569">
        <v>153.4</v>
      </c>
      <c r="J1569">
        <v>100</v>
      </c>
      <c r="K1569">
        <v>100</v>
      </c>
      <c r="L1569" s="1" t="s">
        <v>3807</v>
      </c>
      <c r="M1569" t="s">
        <v>3808</v>
      </c>
      <c r="N1569">
        <v>6</v>
      </c>
    </row>
    <row r="1570" spans="1:14" x14ac:dyDescent="0.25">
      <c r="A1570" s="3" t="str">
        <f>HYPERLINK("http://www.ncbi.nlm.nih.gov/gene/2593","2593")</f>
        <v>2593</v>
      </c>
      <c r="B1570" s="1" t="s">
        <v>3809</v>
      </c>
      <c r="C1570" t="s">
        <v>3810</v>
      </c>
      <c r="D1570">
        <v>107.8</v>
      </c>
      <c r="E1570">
        <v>113.1</v>
      </c>
      <c r="F1570">
        <v>93.1</v>
      </c>
      <c r="G1570">
        <v>82.7</v>
      </c>
      <c r="H1570">
        <v>126.1</v>
      </c>
      <c r="I1570">
        <v>128.80000000000001</v>
      </c>
      <c r="J1570">
        <v>100</v>
      </c>
      <c r="K1570">
        <v>100</v>
      </c>
      <c r="L1570" s="1" t="s">
        <v>3809</v>
      </c>
      <c r="M1570" t="s">
        <v>214</v>
      </c>
      <c r="N1570">
        <v>5</v>
      </c>
    </row>
    <row r="1571" spans="1:14" x14ac:dyDescent="0.25">
      <c r="A1571" s="3" t="str">
        <f>HYPERLINK("http://www.ncbi.nlm.nih.gov/gene/8139","8139")</f>
        <v>8139</v>
      </c>
      <c r="B1571" s="1" t="s">
        <v>3811</v>
      </c>
      <c r="C1571" t="s">
        <v>3812</v>
      </c>
      <c r="D1571">
        <v>167.9</v>
      </c>
      <c r="E1571">
        <v>177.4</v>
      </c>
      <c r="F1571">
        <v>100</v>
      </c>
      <c r="G1571">
        <v>99.6</v>
      </c>
      <c r="H1571">
        <v>134.30000000000001</v>
      </c>
      <c r="I1571">
        <v>139</v>
      </c>
      <c r="J1571">
        <v>100</v>
      </c>
      <c r="K1571">
        <v>100</v>
      </c>
      <c r="L1571" s="1" t="s">
        <v>3811</v>
      </c>
      <c r="M1571" t="s">
        <v>3813</v>
      </c>
      <c r="N1571">
        <v>5</v>
      </c>
    </row>
    <row r="1572" spans="1:14" x14ac:dyDescent="0.25">
      <c r="A1572" s="3" t="str">
        <f>HYPERLINK("http://www.ncbi.nlm.nih.gov/gene/23193","23193")</f>
        <v>23193</v>
      </c>
      <c r="B1572" s="1" t="s">
        <v>3814</v>
      </c>
      <c r="C1572" t="s">
        <v>3815</v>
      </c>
      <c r="D1572">
        <v>123.9</v>
      </c>
      <c r="E1572">
        <v>129.4</v>
      </c>
      <c r="F1572">
        <v>99.9</v>
      </c>
      <c r="G1572">
        <v>99</v>
      </c>
      <c r="H1572">
        <v>129.9</v>
      </c>
      <c r="I1572">
        <v>132.80000000000001</v>
      </c>
      <c r="J1572">
        <v>100</v>
      </c>
      <c r="K1572">
        <v>100</v>
      </c>
      <c r="L1572" s="1" t="s">
        <v>3814</v>
      </c>
      <c r="M1572" t="s">
        <v>3816</v>
      </c>
      <c r="N1572">
        <v>4</v>
      </c>
    </row>
    <row r="1573" spans="1:14" x14ac:dyDescent="0.25">
      <c r="A1573" s="3" t="str">
        <f>HYPERLINK("http://www.ncbi.nlm.nih.gov/gene/26130","26130")</f>
        <v>26130</v>
      </c>
      <c r="B1573" s="1" t="s">
        <v>3817</v>
      </c>
      <c r="C1573" t="s">
        <v>3818</v>
      </c>
      <c r="D1573">
        <v>168.8</v>
      </c>
      <c r="E1573">
        <v>174.7</v>
      </c>
      <c r="F1573">
        <v>100</v>
      </c>
      <c r="G1573">
        <v>99.3</v>
      </c>
      <c r="H1573">
        <v>127.1</v>
      </c>
      <c r="I1573">
        <v>131.30000000000001</v>
      </c>
      <c r="J1573">
        <v>100</v>
      </c>
      <c r="K1573">
        <v>100</v>
      </c>
      <c r="L1573" s="1" t="s">
        <v>3817</v>
      </c>
      <c r="M1573" t="s">
        <v>998</v>
      </c>
      <c r="N1573">
        <v>2</v>
      </c>
    </row>
    <row r="1574" spans="1:14" x14ac:dyDescent="0.25">
      <c r="A1574" s="3" t="str">
        <f>HYPERLINK("http://www.ncbi.nlm.nih.gov/gene/2617","2617")</f>
        <v>2617</v>
      </c>
      <c r="B1574" s="1" t="s">
        <v>3819</v>
      </c>
      <c r="C1574" t="s">
        <v>3820</v>
      </c>
      <c r="D1574">
        <v>149.1</v>
      </c>
      <c r="E1574">
        <v>154.4</v>
      </c>
      <c r="F1574">
        <v>99.9</v>
      </c>
      <c r="G1574">
        <v>99.1</v>
      </c>
      <c r="H1574">
        <v>130.5</v>
      </c>
      <c r="I1574">
        <v>134.69999999999999</v>
      </c>
      <c r="J1574">
        <v>100</v>
      </c>
      <c r="K1574">
        <v>100</v>
      </c>
      <c r="L1574" s="1" t="s">
        <v>3819</v>
      </c>
      <c r="M1574" t="s">
        <v>3821</v>
      </c>
      <c r="N1574">
        <v>3</v>
      </c>
    </row>
    <row r="1575" spans="1:14" x14ac:dyDescent="0.25">
      <c r="A1575" s="3" t="str">
        <f>HYPERLINK("http://www.ncbi.nlm.nih.gov/gene/2620","2620")</f>
        <v>2620</v>
      </c>
      <c r="B1575" s="1" t="s">
        <v>3822</v>
      </c>
      <c r="C1575" t="s">
        <v>3823</v>
      </c>
      <c r="D1575">
        <v>145.69999999999999</v>
      </c>
      <c r="E1575">
        <v>149.69999999999999</v>
      </c>
      <c r="F1575">
        <v>100</v>
      </c>
      <c r="G1575">
        <v>100</v>
      </c>
      <c r="H1575">
        <v>136.80000000000001</v>
      </c>
      <c r="I1575">
        <v>140.19999999999999</v>
      </c>
      <c r="J1575">
        <v>100</v>
      </c>
      <c r="K1575">
        <v>100</v>
      </c>
      <c r="L1575" s="1" t="s">
        <v>3822</v>
      </c>
      <c r="M1575" t="s">
        <v>1120</v>
      </c>
      <c r="N1575">
        <v>2</v>
      </c>
    </row>
    <row r="1576" spans="1:14" x14ac:dyDescent="0.25">
      <c r="A1576" s="3" t="str">
        <f>HYPERLINK("http://www.ncbi.nlm.nih.gov/gene/246176","246176")</f>
        <v>246176</v>
      </c>
      <c r="B1576" s="1" t="s">
        <v>3824</v>
      </c>
      <c r="C1576" t="s">
        <v>3825</v>
      </c>
      <c r="D1576">
        <v>181.7</v>
      </c>
      <c r="E1576">
        <v>172.1</v>
      </c>
      <c r="F1576">
        <v>100</v>
      </c>
      <c r="G1576">
        <v>100</v>
      </c>
      <c r="H1576">
        <v>151.69999999999999</v>
      </c>
      <c r="I1576">
        <v>154.6</v>
      </c>
      <c r="J1576">
        <v>100</v>
      </c>
      <c r="K1576">
        <v>100</v>
      </c>
      <c r="L1576" s="1" t="s">
        <v>3824</v>
      </c>
      <c r="M1576" t="s">
        <v>53</v>
      </c>
      <c r="N1576">
        <v>2</v>
      </c>
    </row>
    <row r="1577" spans="1:14" x14ac:dyDescent="0.25">
      <c r="A1577" s="3" t="str">
        <f>HYPERLINK("http://www.ncbi.nlm.nih.gov/gene/2622","2622")</f>
        <v>2622</v>
      </c>
      <c r="B1577" s="1" t="s">
        <v>3826</v>
      </c>
      <c r="C1577" t="s">
        <v>3827</v>
      </c>
      <c r="D1577">
        <v>131.6</v>
      </c>
      <c r="E1577">
        <v>136.30000000000001</v>
      </c>
      <c r="F1577">
        <v>99.9</v>
      </c>
      <c r="G1577">
        <v>99.3</v>
      </c>
      <c r="H1577">
        <v>128.80000000000001</v>
      </c>
      <c r="I1577">
        <v>132.4</v>
      </c>
      <c r="J1577">
        <v>100</v>
      </c>
      <c r="K1577">
        <v>100</v>
      </c>
      <c r="L1577" s="1" t="s">
        <v>3826</v>
      </c>
      <c r="M1577" t="s">
        <v>1483</v>
      </c>
      <c r="N1577">
        <v>3</v>
      </c>
    </row>
    <row r="1578" spans="1:14" x14ac:dyDescent="0.25">
      <c r="A1578" s="3" t="str">
        <f>HYPERLINK("http://www.ncbi.nlm.nih.gov/gene/2623","2623")</f>
        <v>2623</v>
      </c>
      <c r="B1578" s="1" t="s">
        <v>3828</v>
      </c>
      <c r="C1578" t="s">
        <v>3829</v>
      </c>
      <c r="D1578">
        <v>106.2</v>
      </c>
      <c r="E1578">
        <v>108.4</v>
      </c>
      <c r="F1578">
        <v>99.8</v>
      </c>
      <c r="G1578">
        <v>98.4</v>
      </c>
      <c r="H1578">
        <v>151.80000000000001</v>
      </c>
      <c r="I1578">
        <v>156.80000000000001</v>
      </c>
      <c r="J1578">
        <v>100</v>
      </c>
      <c r="K1578">
        <v>100</v>
      </c>
      <c r="L1578" s="1" t="s">
        <v>3828</v>
      </c>
      <c r="M1578" t="s">
        <v>3830</v>
      </c>
      <c r="N1578">
        <v>4</v>
      </c>
    </row>
    <row r="1579" spans="1:14" x14ac:dyDescent="0.25">
      <c r="A1579" s="3" t="str">
        <f>HYPERLINK("http://www.ncbi.nlm.nih.gov/gene/2624","2624")</f>
        <v>2624</v>
      </c>
      <c r="B1579" s="1" t="s">
        <v>3831</v>
      </c>
      <c r="C1579" t="s">
        <v>3832</v>
      </c>
      <c r="D1579">
        <v>108.8</v>
      </c>
      <c r="E1579">
        <v>119.1</v>
      </c>
      <c r="F1579">
        <v>100</v>
      </c>
      <c r="G1579">
        <v>98.3</v>
      </c>
      <c r="H1579">
        <v>152.1</v>
      </c>
      <c r="I1579">
        <v>156.9</v>
      </c>
      <c r="J1579">
        <v>100</v>
      </c>
      <c r="K1579">
        <v>100</v>
      </c>
      <c r="L1579" s="1" t="s">
        <v>3831</v>
      </c>
      <c r="M1579" t="s">
        <v>3833</v>
      </c>
      <c r="N1579">
        <v>6</v>
      </c>
    </row>
    <row r="1580" spans="1:14" x14ac:dyDescent="0.25">
      <c r="A1580" s="3" t="str">
        <f>HYPERLINK("http://www.ncbi.nlm.nih.gov/gene/2625","2625")</f>
        <v>2625</v>
      </c>
      <c r="B1580" s="1" t="s">
        <v>3834</v>
      </c>
      <c r="C1580" t="s">
        <v>3835</v>
      </c>
      <c r="D1580">
        <v>242.3</v>
      </c>
      <c r="E1580">
        <v>254.6</v>
      </c>
      <c r="F1580">
        <v>100</v>
      </c>
      <c r="G1580">
        <v>100</v>
      </c>
      <c r="H1580">
        <v>189.7</v>
      </c>
      <c r="I1580">
        <v>197.9</v>
      </c>
      <c r="J1580">
        <v>100</v>
      </c>
      <c r="K1580">
        <v>100</v>
      </c>
      <c r="L1580" s="1" t="s">
        <v>3834</v>
      </c>
      <c r="M1580" t="s">
        <v>594</v>
      </c>
      <c r="N1580">
        <v>3</v>
      </c>
    </row>
    <row r="1581" spans="1:14" x14ac:dyDescent="0.25">
      <c r="A1581" s="3" t="str">
        <f>HYPERLINK("http://www.ncbi.nlm.nih.gov/gene/2626","2626")</f>
        <v>2626</v>
      </c>
      <c r="B1581" s="1" t="s">
        <v>3836</v>
      </c>
      <c r="C1581" t="s">
        <v>3837</v>
      </c>
      <c r="D1581">
        <v>80.2</v>
      </c>
      <c r="E1581">
        <v>80.900000000000006</v>
      </c>
      <c r="F1581">
        <v>84.1</v>
      </c>
      <c r="G1581">
        <v>74.5</v>
      </c>
      <c r="H1581">
        <v>136.9</v>
      </c>
      <c r="I1581">
        <v>136.6</v>
      </c>
      <c r="J1581">
        <v>100</v>
      </c>
      <c r="K1581">
        <v>99.9</v>
      </c>
      <c r="L1581" s="1" t="s">
        <v>3836</v>
      </c>
      <c r="M1581" t="s">
        <v>3838</v>
      </c>
      <c r="N1581">
        <v>4</v>
      </c>
    </row>
    <row r="1582" spans="1:14" x14ac:dyDescent="0.25">
      <c r="A1582" s="3" t="str">
        <f>HYPERLINK("http://www.ncbi.nlm.nih.gov/gene/140628","140628")</f>
        <v>140628</v>
      </c>
      <c r="B1582" s="1" t="s">
        <v>3839</v>
      </c>
      <c r="C1582" t="s">
        <v>3840</v>
      </c>
      <c r="D1582">
        <v>57.5</v>
      </c>
      <c r="E1582">
        <v>57.8</v>
      </c>
      <c r="F1582">
        <v>99.7</v>
      </c>
      <c r="G1582">
        <v>93.7</v>
      </c>
      <c r="H1582">
        <v>134.69999999999999</v>
      </c>
      <c r="I1582">
        <v>139.19999999999999</v>
      </c>
      <c r="J1582">
        <v>100</v>
      </c>
      <c r="K1582">
        <v>100</v>
      </c>
      <c r="L1582" s="1" t="s">
        <v>3839</v>
      </c>
      <c r="M1582" t="s">
        <v>3841</v>
      </c>
      <c r="N1582">
        <v>4</v>
      </c>
    </row>
    <row r="1583" spans="1:14" x14ac:dyDescent="0.25">
      <c r="A1583" s="3" t="str">
        <f>HYPERLINK("http://www.ncbi.nlm.nih.gov/gene/2627","2627")</f>
        <v>2627</v>
      </c>
      <c r="B1583" s="1" t="s">
        <v>3842</v>
      </c>
      <c r="D1583">
        <v>96.9</v>
      </c>
      <c r="E1583">
        <v>94.1</v>
      </c>
      <c r="F1583">
        <v>89.8</v>
      </c>
      <c r="G1583">
        <v>83</v>
      </c>
      <c r="H1583">
        <v>126.4</v>
      </c>
      <c r="I1583">
        <v>134</v>
      </c>
      <c r="J1583">
        <v>99.6</v>
      </c>
      <c r="K1583">
        <v>98</v>
      </c>
      <c r="L1583" s="1" t="s">
        <v>3842</v>
      </c>
      <c r="M1583" t="s">
        <v>180</v>
      </c>
      <c r="N1583">
        <v>3</v>
      </c>
    </row>
    <row r="1584" spans="1:14" x14ac:dyDescent="0.25">
      <c r="A1584" s="3" t="str">
        <f>HYPERLINK("http://www.ncbi.nlm.nih.gov/gene/57798","57798")</f>
        <v>57798</v>
      </c>
      <c r="B1584" s="1" t="s">
        <v>3843</v>
      </c>
      <c r="C1584" t="s">
        <v>3844</v>
      </c>
      <c r="D1584">
        <v>144.5</v>
      </c>
      <c r="E1584">
        <v>150.6</v>
      </c>
      <c r="F1584">
        <v>99.9</v>
      </c>
      <c r="G1584">
        <v>97.9</v>
      </c>
      <c r="H1584">
        <v>118.5</v>
      </c>
      <c r="I1584">
        <v>122.1</v>
      </c>
      <c r="J1584">
        <v>100</v>
      </c>
      <c r="K1584">
        <v>99.1</v>
      </c>
      <c r="L1584" s="1" t="s">
        <v>3843</v>
      </c>
      <c r="M1584" t="s">
        <v>243</v>
      </c>
      <c r="N1584">
        <v>2</v>
      </c>
    </row>
    <row r="1585" spans="1:14" x14ac:dyDescent="0.25">
      <c r="A1585" s="3" t="str">
        <f>HYPERLINK("http://www.ncbi.nlm.nih.gov/gene/57459","57459")</f>
        <v>57459</v>
      </c>
      <c r="B1585" s="1" t="s">
        <v>3845</v>
      </c>
      <c r="C1585" t="s">
        <v>3846</v>
      </c>
      <c r="D1585">
        <v>117.3</v>
      </c>
      <c r="E1585">
        <v>120.2</v>
      </c>
      <c r="F1585">
        <v>100</v>
      </c>
      <c r="G1585">
        <v>100</v>
      </c>
      <c r="H1585">
        <v>198.9</v>
      </c>
      <c r="I1585">
        <v>205.7</v>
      </c>
      <c r="J1585">
        <v>100</v>
      </c>
      <c r="K1585">
        <v>100</v>
      </c>
      <c r="L1585" s="1" t="s">
        <v>3845</v>
      </c>
      <c r="M1585" t="s">
        <v>189</v>
      </c>
      <c r="N1585">
        <v>2</v>
      </c>
    </row>
    <row r="1586" spans="1:14" x14ac:dyDescent="0.25">
      <c r="A1586" s="3" t="str">
        <f>HYPERLINK("http://www.ncbi.nlm.nih.gov/gene/5188","5188")</f>
        <v>5188</v>
      </c>
      <c r="B1586" s="1" t="s">
        <v>3847</v>
      </c>
      <c r="C1586" t="s">
        <v>3848</v>
      </c>
      <c r="D1586">
        <v>125.1</v>
      </c>
      <c r="E1586">
        <v>128</v>
      </c>
      <c r="F1586">
        <v>100</v>
      </c>
      <c r="G1586">
        <v>99.7</v>
      </c>
      <c r="H1586">
        <v>138.4</v>
      </c>
      <c r="I1586">
        <v>142</v>
      </c>
      <c r="J1586">
        <v>100</v>
      </c>
      <c r="K1586">
        <v>100</v>
      </c>
      <c r="L1586" s="1" t="s">
        <v>3847</v>
      </c>
      <c r="M1586" t="s">
        <v>3849</v>
      </c>
      <c r="N1586">
        <v>3</v>
      </c>
    </row>
    <row r="1587" spans="1:14" x14ac:dyDescent="0.25">
      <c r="A1587" s="3" t="str">
        <f>HYPERLINK("http://www.ncbi.nlm.nih.gov/gene/283459","283459")</f>
        <v>283459</v>
      </c>
      <c r="B1587" s="1" t="s">
        <v>3850</v>
      </c>
      <c r="C1587" t="s">
        <v>3851</v>
      </c>
      <c r="D1587">
        <v>135.6</v>
      </c>
      <c r="E1587">
        <v>137.1</v>
      </c>
      <c r="F1587">
        <v>100</v>
      </c>
      <c r="G1587">
        <v>100</v>
      </c>
      <c r="H1587">
        <v>156.19999999999999</v>
      </c>
      <c r="I1587">
        <v>159.1</v>
      </c>
      <c r="J1587">
        <v>100</v>
      </c>
      <c r="K1587">
        <v>100</v>
      </c>
      <c r="L1587" s="1" t="s">
        <v>3850</v>
      </c>
      <c r="M1587" t="s">
        <v>3849</v>
      </c>
      <c r="N1587">
        <v>3</v>
      </c>
    </row>
    <row r="1588" spans="1:14" x14ac:dyDescent="0.25">
      <c r="A1588" s="3" t="str">
        <f>HYPERLINK("http://www.ncbi.nlm.nih.gov/gene/2628","2628")</f>
        <v>2628</v>
      </c>
      <c r="B1588" s="1" t="s">
        <v>3852</v>
      </c>
      <c r="C1588" t="s">
        <v>3853</v>
      </c>
      <c r="D1588">
        <v>147.69999999999999</v>
      </c>
      <c r="E1588">
        <v>156.19999999999999</v>
      </c>
      <c r="F1588">
        <v>100</v>
      </c>
      <c r="G1588">
        <v>100</v>
      </c>
      <c r="H1588">
        <v>139.5</v>
      </c>
      <c r="I1588">
        <v>143.9</v>
      </c>
      <c r="J1588">
        <v>100</v>
      </c>
      <c r="K1588">
        <v>100</v>
      </c>
      <c r="L1588" s="1" t="s">
        <v>3852</v>
      </c>
      <c r="M1588" t="s">
        <v>3854</v>
      </c>
      <c r="N1588">
        <v>6</v>
      </c>
    </row>
    <row r="1589" spans="1:14" x14ac:dyDescent="0.25">
      <c r="A1589" s="3" t="str">
        <f>HYPERLINK("http://www.ncbi.nlm.nih.gov/gene/2629","2629")</f>
        <v>2629</v>
      </c>
      <c r="B1589" s="1" t="s">
        <v>3855</v>
      </c>
      <c r="C1589" t="s">
        <v>3856</v>
      </c>
      <c r="D1589">
        <v>198.6</v>
      </c>
      <c r="E1589">
        <v>202.3</v>
      </c>
      <c r="F1589">
        <v>100</v>
      </c>
      <c r="G1589">
        <v>100</v>
      </c>
      <c r="H1589">
        <v>196.9</v>
      </c>
      <c r="I1589">
        <v>203.1</v>
      </c>
      <c r="J1589">
        <v>100</v>
      </c>
      <c r="K1589">
        <v>100</v>
      </c>
      <c r="L1589" s="1" t="s">
        <v>3855</v>
      </c>
      <c r="M1589" t="s">
        <v>3857</v>
      </c>
      <c r="N1589">
        <v>9</v>
      </c>
    </row>
    <row r="1590" spans="1:14" x14ac:dyDescent="0.25">
      <c r="A1590" s="3" t="str">
        <f>HYPERLINK("http://www.ncbi.nlm.nih.gov/gene/57704","57704")</f>
        <v>57704</v>
      </c>
      <c r="B1590" s="1" t="s">
        <v>3858</v>
      </c>
      <c r="C1590" t="s">
        <v>3859</v>
      </c>
      <c r="D1590">
        <v>161.69999999999999</v>
      </c>
      <c r="E1590">
        <v>165.1</v>
      </c>
      <c r="F1590">
        <v>100</v>
      </c>
      <c r="G1590">
        <v>99.7</v>
      </c>
      <c r="H1590">
        <v>146.30000000000001</v>
      </c>
      <c r="I1590">
        <v>148.80000000000001</v>
      </c>
      <c r="J1590">
        <v>100</v>
      </c>
      <c r="K1590">
        <v>100</v>
      </c>
      <c r="L1590" s="1" t="s">
        <v>3858</v>
      </c>
      <c r="M1590" t="s">
        <v>3860</v>
      </c>
      <c r="N1590">
        <v>4</v>
      </c>
    </row>
    <row r="1591" spans="1:14" x14ac:dyDescent="0.25">
      <c r="A1591" s="3" t="str">
        <f>HYPERLINK("http://www.ncbi.nlm.nih.gov/gene/2632","2632")</f>
        <v>2632</v>
      </c>
      <c r="B1591" s="1" t="s">
        <v>3861</v>
      </c>
      <c r="C1591" t="s">
        <v>3862</v>
      </c>
      <c r="D1591">
        <v>194.5</v>
      </c>
      <c r="E1591">
        <v>200.1</v>
      </c>
      <c r="F1591">
        <v>100</v>
      </c>
      <c r="G1591">
        <v>99.6</v>
      </c>
      <c r="H1591">
        <v>131.69999999999999</v>
      </c>
      <c r="I1591">
        <v>135</v>
      </c>
      <c r="J1591">
        <v>100</v>
      </c>
      <c r="K1591">
        <v>100</v>
      </c>
      <c r="L1591" s="1" t="s">
        <v>3861</v>
      </c>
      <c r="M1591" t="s">
        <v>3863</v>
      </c>
      <c r="N1591">
        <v>9</v>
      </c>
    </row>
    <row r="1592" spans="1:14" x14ac:dyDescent="0.25">
      <c r="A1592" s="3" t="str">
        <f>HYPERLINK("http://www.ncbi.nlm.nih.gov/gene/8729","8729")</f>
        <v>8729</v>
      </c>
      <c r="B1592" s="1" t="s">
        <v>3864</v>
      </c>
      <c r="C1592" t="s">
        <v>3865</v>
      </c>
      <c r="D1592">
        <v>138.4</v>
      </c>
      <c r="E1592">
        <v>142.1</v>
      </c>
      <c r="F1592">
        <v>98.3</v>
      </c>
      <c r="G1592">
        <v>98</v>
      </c>
      <c r="H1592">
        <v>134.1</v>
      </c>
      <c r="I1592">
        <v>137.80000000000001</v>
      </c>
      <c r="J1592">
        <v>100</v>
      </c>
      <c r="K1592">
        <v>100</v>
      </c>
      <c r="L1592" s="1" t="s">
        <v>3864</v>
      </c>
      <c r="M1592" t="s">
        <v>3866</v>
      </c>
      <c r="N1592">
        <v>3</v>
      </c>
    </row>
    <row r="1593" spans="1:14" x14ac:dyDescent="0.25">
      <c r="A1593" s="3" t="str">
        <f>HYPERLINK("http://www.ncbi.nlm.nih.gov/gene/2639","2639")</f>
        <v>2639</v>
      </c>
      <c r="B1593" s="1" t="s">
        <v>3867</v>
      </c>
      <c r="C1593" t="s">
        <v>3868</v>
      </c>
      <c r="D1593">
        <v>156.4</v>
      </c>
      <c r="E1593">
        <v>158.1</v>
      </c>
      <c r="F1593">
        <v>100</v>
      </c>
      <c r="G1593">
        <v>99.2</v>
      </c>
      <c r="H1593">
        <v>146.1</v>
      </c>
      <c r="I1593">
        <v>150</v>
      </c>
      <c r="J1593">
        <v>100</v>
      </c>
      <c r="K1593">
        <v>100</v>
      </c>
      <c r="L1593" s="1" t="s">
        <v>3867</v>
      </c>
      <c r="M1593" t="s">
        <v>3860</v>
      </c>
      <c r="N1593">
        <v>4</v>
      </c>
    </row>
    <row r="1594" spans="1:14" x14ac:dyDescent="0.25">
      <c r="A1594" s="3" t="str">
        <f>HYPERLINK("http://www.ncbi.nlm.nih.gov/gene/2643","2643")</f>
        <v>2643</v>
      </c>
      <c r="B1594" s="1" t="s">
        <v>3869</v>
      </c>
      <c r="C1594" t="s">
        <v>3870</v>
      </c>
      <c r="D1594">
        <v>79.7</v>
      </c>
      <c r="E1594">
        <v>80.7</v>
      </c>
      <c r="F1594">
        <v>99.9</v>
      </c>
      <c r="G1594">
        <v>95.5</v>
      </c>
      <c r="H1594">
        <v>123.6</v>
      </c>
      <c r="I1594">
        <v>126.8</v>
      </c>
      <c r="J1594">
        <v>100</v>
      </c>
      <c r="K1594">
        <v>100</v>
      </c>
      <c r="L1594" s="1" t="s">
        <v>3869</v>
      </c>
      <c r="M1594" t="s">
        <v>3871</v>
      </c>
      <c r="N1594">
        <v>6</v>
      </c>
    </row>
    <row r="1595" spans="1:14" x14ac:dyDescent="0.25">
      <c r="A1595" s="3" t="str">
        <f>HYPERLINK("http://www.ncbi.nlm.nih.gov/gene/2645","2645")</f>
        <v>2645</v>
      </c>
      <c r="B1595" s="1" t="s">
        <v>3872</v>
      </c>
      <c r="C1595" t="s">
        <v>3873</v>
      </c>
      <c r="D1595">
        <v>119</v>
      </c>
      <c r="E1595">
        <v>124</v>
      </c>
      <c r="F1595">
        <v>95.4</v>
      </c>
      <c r="G1595">
        <v>95.4</v>
      </c>
      <c r="H1595">
        <v>152.9</v>
      </c>
      <c r="I1595">
        <v>157.1</v>
      </c>
      <c r="J1595">
        <v>92.5</v>
      </c>
      <c r="K1595">
        <v>92.2</v>
      </c>
      <c r="L1595" s="1" t="s">
        <v>3872</v>
      </c>
      <c r="M1595" t="s">
        <v>3874</v>
      </c>
      <c r="N1595">
        <v>4</v>
      </c>
    </row>
    <row r="1596" spans="1:14" x14ac:dyDescent="0.25">
      <c r="A1596" s="3" t="str">
        <f>HYPERLINK("http://www.ncbi.nlm.nih.gov/gene/2729","2729")</f>
        <v>2729</v>
      </c>
      <c r="B1596" s="1" t="s">
        <v>3875</v>
      </c>
      <c r="C1596" t="s">
        <v>3876</v>
      </c>
      <c r="D1596">
        <v>162.80000000000001</v>
      </c>
      <c r="E1596">
        <v>169.3</v>
      </c>
      <c r="F1596">
        <v>99.8</v>
      </c>
      <c r="G1596">
        <v>98</v>
      </c>
      <c r="H1596">
        <v>131.1</v>
      </c>
      <c r="I1596">
        <v>135</v>
      </c>
      <c r="J1596">
        <v>100</v>
      </c>
      <c r="K1596">
        <v>100</v>
      </c>
      <c r="L1596" s="1" t="s">
        <v>3875</v>
      </c>
      <c r="M1596" t="s">
        <v>116</v>
      </c>
      <c r="N1596">
        <v>3</v>
      </c>
    </row>
    <row r="1597" spans="1:14" x14ac:dyDescent="0.25">
      <c r="A1597" s="3" t="str">
        <f>HYPERLINK("http://www.ncbi.nlm.nih.gov/gene/2730","2730")</f>
        <v>2730</v>
      </c>
      <c r="B1597" s="1" t="s">
        <v>3877</v>
      </c>
      <c r="C1597" t="s">
        <v>3878</v>
      </c>
      <c r="D1597">
        <v>109.1</v>
      </c>
      <c r="E1597">
        <v>111.3</v>
      </c>
      <c r="F1597">
        <v>99.6</v>
      </c>
      <c r="G1597">
        <v>95.8</v>
      </c>
      <c r="H1597">
        <v>113.8</v>
      </c>
      <c r="I1597">
        <v>116.8</v>
      </c>
      <c r="J1597">
        <v>100</v>
      </c>
      <c r="K1597">
        <v>100</v>
      </c>
      <c r="L1597" s="1" t="s">
        <v>3877</v>
      </c>
      <c r="M1597" t="s">
        <v>93</v>
      </c>
      <c r="N1597">
        <v>2</v>
      </c>
    </row>
    <row r="1598" spans="1:14" x14ac:dyDescent="0.25">
      <c r="A1598" s="3" t="str">
        <f>HYPERLINK("http://www.ncbi.nlm.nih.gov/gene/9247","9247")</f>
        <v>9247</v>
      </c>
      <c r="B1598" s="1" t="s">
        <v>3879</v>
      </c>
      <c r="C1598" t="s">
        <v>3880</v>
      </c>
      <c r="D1598">
        <v>158.80000000000001</v>
      </c>
      <c r="E1598">
        <v>153.4</v>
      </c>
      <c r="F1598">
        <v>100</v>
      </c>
      <c r="G1598">
        <v>100</v>
      </c>
      <c r="H1598">
        <v>159.9</v>
      </c>
      <c r="I1598">
        <v>162.9</v>
      </c>
      <c r="J1598">
        <v>100</v>
      </c>
      <c r="K1598">
        <v>100</v>
      </c>
      <c r="L1598" s="1" t="s">
        <v>3879</v>
      </c>
      <c r="M1598" t="s">
        <v>3881</v>
      </c>
      <c r="N1598">
        <v>3</v>
      </c>
    </row>
    <row r="1599" spans="1:14" x14ac:dyDescent="0.25">
      <c r="A1599" s="3" t="str">
        <f>HYPERLINK("http://www.ncbi.nlm.nih.gov/gene/2651","2651")</f>
        <v>2651</v>
      </c>
      <c r="B1599" s="1" t="s">
        <v>3882</v>
      </c>
      <c r="C1599" t="s">
        <v>3883</v>
      </c>
      <c r="D1599">
        <v>198.4</v>
      </c>
      <c r="E1599">
        <v>180</v>
      </c>
      <c r="F1599">
        <v>99.5</v>
      </c>
      <c r="G1599">
        <v>99.5</v>
      </c>
      <c r="H1599">
        <v>165.7</v>
      </c>
      <c r="I1599">
        <v>166.7</v>
      </c>
      <c r="J1599">
        <v>100</v>
      </c>
      <c r="K1599">
        <v>100</v>
      </c>
      <c r="L1599" s="1" t="s">
        <v>3882</v>
      </c>
      <c r="M1599" t="s">
        <v>2290</v>
      </c>
      <c r="N1599">
        <v>3</v>
      </c>
    </row>
    <row r="1600" spans="1:14" x14ac:dyDescent="0.25">
      <c r="A1600" s="3" t="str">
        <f>HYPERLINK("http://www.ncbi.nlm.nih.gov/gene/2653","2653")</f>
        <v>2653</v>
      </c>
      <c r="B1600" s="1" t="s">
        <v>3884</v>
      </c>
      <c r="C1600" t="s">
        <v>3885</v>
      </c>
      <c r="D1600">
        <v>33.9</v>
      </c>
      <c r="E1600">
        <v>33.4</v>
      </c>
      <c r="F1600">
        <v>75.7</v>
      </c>
      <c r="G1600">
        <v>68.900000000000006</v>
      </c>
      <c r="H1600">
        <v>147.6</v>
      </c>
      <c r="I1600">
        <v>152.6</v>
      </c>
      <c r="J1600">
        <v>100</v>
      </c>
      <c r="K1600">
        <v>100</v>
      </c>
      <c r="L1600" s="1" t="s">
        <v>3884</v>
      </c>
      <c r="M1600" t="s">
        <v>214</v>
      </c>
      <c r="N1600">
        <v>5</v>
      </c>
    </row>
    <row r="1601" spans="1:14" x14ac:dyDescent="0.25">
      <c r="A1601" s="3" t="str">
        <f>HYPERLINK("http://www.ncbi.nlm.nih.gov/gene/54332","54332")</f>
        <v>54332</v>
      </c>
      <c r="B1601" s="1" t="s">
        <v>3886</v>
      </c>
      <c r="C1601" t="s">
        <v>3887</v>
      </c>
      <c r="D1601">
        <v>176</v>
      </c>
      <c r="E1601">
        <v>185.1</v>
      </c>
      <c r="F1601">
        <v>99.8</v>
      </c>
      <c r="G1601">
        <v>99.3</v>
      </c>
      <c r="H1601">
        <v>142.69999999999999</v>
      </c>
      <c r="I1601">
        <v>147.1</v>
      </c>
      <c r="J1601">
        <v>100</v>
      </c>
      <c r="K1601">
        <v>100</v>
      </c>
      <c r="L1601" s="1" t="s">
        <v>3886</v>
      </c>
      <c r="M1601" t="s">
        <v>3888</v>
      </c>
      <c r="N1601">
        <v>4</v>
      </c>
    </row>
    <row r="1602" spans="1:14" x14ac:dyDescent="0.25">
      <c r="A1602" s="3" t="str">
        <f>HYPERLINK("http://www.ncbi.nlm.nih.gov/gene/54834","54834")</f>
        <v>54834</v>
      </c>
      <c r="B1602" s="1" t="s">
        <v>3889</v>
      </c>
      <c r="C1602" t="s">
        <v>3890</v>
      </c>
      <c r="D1602">
        <v>124.8</v>
      </c>
      <c r="E1602">
        <v>130.1</v>
      </c>
      <c r="F1602">
        <v>100</v>
      </c>
      <c r="G1602">
        <v>99.2</v>
      </c>
      <c r="H1602">
        <v>133.30000000000001</v>
      </c>
      <c r="I1602">
        <v>136.9</v>
      </c>
      <c r="J1602">
        <v>100</v>
      </c>
      <c r="K1602">
        <v>100</v>
      </c>
      <c r="L1602" s="1" t="s">
        <v>3889</v>
      </c>
      <c r="M1602" t="s">
        <v>838</v>
      </c>
      <c r="N1602">
        <v>3</v>
      </c>
    </row>
    <row r="1603" spans="1:14" x14ac:dyDescent="0.25">
      <c r="A1603" s="3" t="str">
        <f>HYPERLINK("http://www.ncbi.nlm.nih.gov/gene/2657","2657")</f>
        <v>2657</v>
      </c>
      <c r="B1603" s="1" t="s">
        <v>3891</v>
      </c>
      <c r="C1603" t="s">
        <v>3892</v>
      </c>
      <c r="D1603">
        <v>39.9</v>
      </c>
      <c r="E1603">
        <v>28.8</v>
      </c>
      <c r="F1603">
        <v>73.900000000000006</v>
      </c>
      <c r="G1603">
        <v>54</v>
      </c>
      <c r="H1603">
        <v>90.9</v>
      </c>
      <c r="I1603">
        <v>91.5</v>
      </c>
      <c r="J1603">
        <v>98.7</v>
      </c>
      <c r="K1603">
        <v>92</v>
      </c>
      <c r="L1603" s="1" t="s">
        <v>3891</v>
      </c>
      <c r="M1603" t="s">
        <v>3893</v>
      </c>
      <c r="N1603">
        <v>5</v>
      </c>
    </row>
    <row r="1604" spans="1:14" x14ac:dyDescent="0.25">
      <c r="A1604" s="3" t="str">
        <f>HYPERLINK("http://www.ncbi.nlm.nih.gov/gene/2658","2658")</f>
        <v>2658</v>
      </c>
      <c r="B1604" s="1" t="s">
        <v>3894</v>
      </c>
      <c r="C1604" t="s">
        <v>3895</v>
      </c>
      <c r="D1604">
        <v>143.80000000000001</v>
      </c>
      <c r="E1604">
        <v>149.19999999999999</v>
      </c>
      <c r="F1604">
        <v>100</v>
      </c>
      <c r="G1604">
        <v>100</v>
      </c>
      <c r="H1604">
        <v>157</v>
      </c>
      <c r="I1604">
        <v>156.69999999999999</v>
      </c>
      <c r="J1604">
        <v>100</v>
      </c>
      <c r="K1604">
        <v>100</v>
      </c>
      <c r="L1604" s="1" t="s">
        <v>3894</v>
      </c>
      <c r="M1604" t="s">
        <v>3896</v>
      </c>
      <c r="N1604">
        <v>4</v>
      </c>
    </row>
    <row r="1605" spans="1:14" x14ac:dyDescent="0.25">
      <c r="A1605" s="3" t="str">
        <f>HYPERLINK("http://www.ncbi.nlm.nih.gov/gene/9573","9573")</f>
        <v>9573</v>
      </c>
      <c r="B1605" s="1" t="s">
        <v>3897</v>
      </c>
      <c r="C1605" t="s">
        <v>3898</v>
      </c>
      <c r="D1605">
        <v>145.69999999999999</v>
      </c>
      <c r="E1605">
        <v>138.9</v>
      </c>
      <c r="F1605">
        <v>100</v>
      </c>
      <c r="G1605">
        <v>100</v>
      </c>
      <c r="H1605">
        <v>145.5</v>
      </c>
      <c r="I1605">
        <v>148.69999999999999</v>
      </c>
      <c r="J1605">
        <v>100</v>
      </c>
      <c r="K1605">
        <v>100</v>
      </c>
      <c r="L1605" s="1" t="s">
        <v>3897</v>
      </c>
      <c r="M1605" t="s">
        <v>3899</v>
      </c>
      <c r="N1605">
        <v>4</v>
      </c>
    </row>
    <row r="1606" spans="1:14" x14ac:dyDescent="0.25">
      <c r="A1606" s="3" t="str">
        <f>HYPERLINK("http://www.ncbi.nlm.nih.gov/gene/8200","8200")</f>
        <v>8200</v>
      </c>
      <c r="B1606" s="1" t="s">
        <v>3900</v>
      </c>
      <c r="C1606" t="s">
        <v>3901</v>
      </c>
      <c r="D1606">
        <v>173.8</v>
      </c>
      <c r="E1606">
        <v>156.1</v>
      </c>
      <c r="F1606">
        <v>100</v>
      </c>
      <c r="G1606">
        <v>100</v>
      </c>
      <c r="H1606">
        <v>150.80000000000001</v>
      </c>
      <c r="I1606">
        <v>152.69999999999999</v>
      </c>
      <c r="J1606">
        <v>100</v>
      </c>
      <c r="K1606">
        <v>100</v>
      </c>
      <c r="L1606" s="1" t="s">
        <v>3900</v>
      </c>
      <c r="M1606" t="s">
        <v>3902</v>
      </c>
      <c r="N1606">
        <v>4</v>
      </c>
    </row>
    <row r="1607" spans="1:14" x14ac:dyDescent="0.25">
      <c r="A1607" s="3" t="str">
        <f>HYPERLINK("http://www.ncbi.nlm.nih.gov/gene/392255","392255")</f>
        <v>392255</v>
      </c>
      <c r="B1607" s="1" t="s">
        <v>3903</v>
      </c>
      <c r="C1607" t="s">
        <v>3904</v>
      </c>
      <c r="D1607">
        <v>132.30000000000001</v>
      </c>
      <c r="E1607">
        <v>116.8</v>
      </c>
      <c r="F1607">
        <v>100</v>
      </c>
      <c r="G1607">
        <v>99.9</v>
      </c>
      <c r="H1607">
        <v>113.1</v>
      </c>
      <c r="I1607">
        <v>109.5</v>
      </c>
      <c r="J1607">
        <v>100</v>
      </c>
      <c r="K1607">
        <v>99.4</v>
      </c>
      <c r="L1607" s="1" t="s">
        <v>3903</v>
      </c>
      <c r="M1607" t="s">
        <v>3905</v>
      </c>
      <c r="N1607">
        <v>5</v>
      </c>
    </row>
    <row r="1608" spans="1:14" x14ac:dyDescent="0.25">
      <c r="A1608" s="3" t="str">
        <f>HYPERLINK("http://www.ncbi.nlm.nih.gov/gene/2661","2661")</f>
        <v>2661</v>
      </c>
      <c r="B1608" s="1" t="s">
        <v>3906</v>
      </c>
      <c r="C1608" t="s">
        <v>3907</v>
      </c>
      <c r="D1608">
        <v>174.6</v>
      </c>
      <c r="E1608">
        <v>171</v>
      </c>
      <c r="F1608">
        <v>100</v>
      </c>
      <c r="G1608">
        <v>100</v>
      </c>
      <c r="H1608">
        <v>155.19999999999999</v>
      </c>
      <c r="I1608">
        <v>160</v>
      </c>
      <c r="J1608">
        <v>100</v>
      </c>
      <c r="K1608">
        <v>100</v>
      </c>
      <c r="L1608" s="1" t="s">
        <v>3906</v>
      </c>
      <c r="M1608" t="s">
        <v>409</v>
      </c>
      <c r="N1608">
        <v>2</v>
      </c>
    </row>
    <row r="1609" spans="1:14" x14ac:dyDescent="0.25">
      <c r="A1609" s="3" t="str">
        <f>HYPERLINK("http://www.ncbi.nlm.nih.gov/gene/2664","2664")</f>
        <v>2664</v>
      </c>
      <c r="B1609" s="1" t="s">
        <v>3908</v>
      </c>
      <c r="C1609" t="s">
        <v>3909</v>
      </c>
      <c r="D1609">
        <v>151.9</v>
      </c>
      <c r="E1609">
        <v>157.69999999999999</v>
      </c>
      <c r="F1609">
        <v>99.8</v>
      </c>
      <c r="G1609">
        <v>98.7</v>
      </c>
      <c r="H1609">
        <v>127.9</v>
      </c>
      <c r="I1609">
        <v>131.1</v>
      </c>
      <c r="J1609">
        <v>100</v>
      </c>
      <c r="K1609">
        <v>100</v>
      </c>
      <c r="L1609" s="1" t="s">
        <v>3908</v>
      </c>
      <c r="M1609" t="s">
        <v>728</v>
      </c>
      <c r="N1609">
        <v>2</v>
      </c>
    </row>
    <row r="1610" spans="1:14" x14ac:dyDescent="0.25">
      <c r="A1610" s="3" t="str">
        <f>HYPERLINK("http://www.ncbi.nlm.nih.gov/gene/2668","2668")</f>
        <v>2668</v>
      </c>
      <c r="B1610" s="1" t="s">
        <v>3910</v>
      </c>
      <c r="C1610" t="s">
        <v>3911</v>
      </c>
      <c r="D1610">
        <v>196.8</v>
      </c>
      <c r="E1610">
        <v>204.6</v>
      </c>
      <c r="F1610">
        <v>100</v>
      </c>
      <c r="G1610">
        <v>100</v>
      </c>
      <c r="H1610">
        <v>149.4</v>
      </c>
      <c r="I1610">
        <v>151.19999999999999</v>
      </c>
      <c r="J1610">
        <v>100</v>
      </c>
      <c r="K1610">
        <v>100</v>
      </c>
      <c r="L1610" s="1" t="s">
        <v>3910</v>
      </c>
      <c r="M1610" t="s">
        <v>3912</v>
      </c>
      <c r="N1610">
        <v>3</v>
      </c>
    </row>
    <row r="1611" spans="1:14" x14ac:dyDescent="0.25">
      <c r="A1611" s="3" t="str">
        <f>HYPERLINK("http://www.ncbi.nlm.nih.gov/gene/284161","284161")</f>
        <v>284161</v>
      </c>
      <c r="B1611" s="1" t="s">
        <v>3913</v>
      </c>
      <c r="C1611" t="s">
        <v>3914</v>
      </c>
      <c r="D1611">
        <v>151</v>
      </c>
      <c r="E1611">
        <v>155</v>
      </c>
      <c r="F1611">
        <v>100</v>
      </c>
      <c r="G1611">
        <v>98.7</v>
      </c>
      <c r="H1611">
        <v>121.5</v>
      </c>
      <c r="I1611">
        <v>124.2</v>
      </c>
      <c r="J1611">
        <v>100</v>
      </c>
      <c r="K1611">
        <v>100</v>
      </c>
      <c r="L1611" s="1" t="s">
        <v>3913</v>
      </c>
      <c r="M1611" t="s">
        <v>302</v>
      </c>
      <c r="N1611">
        <v>2</v>
      </c>
    </row>
    <row r="1612" spans="1:14" x14ac:dyDescent="0.25">
      <c r="A1612" s="3" t="str">
        <f>HYPERLINK("http://www.ncbi.nlm.nih.gov/gene/50628","50628")</f>
        <v>50628</v>
      </c>
      <c r="B1612" s="1" t="s">
        <v>3915</v>
      </c>
      <c r="C1612" t="s">
        <v>3916</v>
      </c>
      <c r="D1612">
        <v>177.1</v>
      </c>
      <c r="E1612">
        <v>169</v>
      </c>
      <c r="F1612">
        <v>100</v>
      </c>
      <c r="G1612">
        <v>99.5</v>
      </c>
      <c r="H1612">
        <v>154.5</v>
      </c>
      <c r="I1612">
        <v>153.4</v>
      </c>
      <c r="J1612">
        <v>100</v>
      </c>
      <c r="K1612">
        <v>100</v>
      </c>
      <c r="L1612" s="1" t="s">
        <v>3915</v>
      </c>
      <c r="M1612" t="s">
        <v>53</v>
      </c>
      <c r="N1612">
        <v>2</v>
      </c>
    </row>
    <row r="1613" spans="1:14" x14ac:dyDescent="0.25">
      <c r="A1613" s="3" t="str">
        <f>HYPERLINK("http://www.ncbi.nlm.nih.gov/gene/2670","2670")</f>
        <v>2670</v>
      </c>
      <c r="B1613" s="1" t="s">
        <v>3917</v>
      </c>
      <c r="C1613" t="s">
        <v>3918</v>
      </c>
      <c r="D1613">
        <v>100.1</v>
      </c>
      <c r="E1613">
        <v>104.1</v>
      </c>
      <c r="F1613">
        <v>91.8</v>
      </c>
      <c r="G1613">
        <v>89.7</v>
      </c>
      <c r="H1613">
        <v>154.9</v>
      </c>
      <c r="I1613">
        <v>157.69999999999999</v>
      </c>
      <c r="J1613">
        <v>100</v>
      </c>
      <c r="K1613">
        <v>100</v>
      </c>
      <c r="L1613" s="1" t="s">
        <v>3917</v>
      </c>
      <c r="M1613" t="s">
        <v>1357</v>
      </c>
      <c r="N1613">
        <v>3</v>
      </c>
    </row>
    <row r="1614" spans="1:14" x14ac:dyDescent="0.25">
      <c r="A1614" s="3" t="str">
        <f>HYPERLINK("http://www.ncbi.nlm.nih.gov/gene/2671","2671")</f>
        <v>2671</v>
      </c>
      <c r="B1614" s="1" t="s">
        <v>3919</v>
      </c>
      <c r="C1614" t="s">
        <v>3920</v>
      </c>
      <c r="D1614">
        <v>90.9</v>
      </c>
      <c r="E1614">
        <v>91.5</v>
      </c>
      <c r="F1614">
        <v>99.6</v>
      </c>
      <c r="G1614">
        <v>93.9</v>
      </c>
      <c r="H1614">
        <v>142.9</v>
      </c>
      <c r="I1614">
        <v>149.4</v>
      </c>
      <c r="J1614">
        <v>100</v>
      </c>
      <c r="K1614">
        <v>100</v>
      </c>
      <c r="L1614" s="1" t="s">
        <v>3919</v>
      </c>
      <c r="M1614" t="s">
        <v>3921</v>
      </c>
      <c r="N1614">
        <v>5</v>
      </c>
    </row>
    <row r="1615" spans="1:14" x14ac:dyDescent="0.25">
      <c r="A1615" s="3" t="str">
        <f>HYPERLINK("http://www.ncbi.nlm.nih.gov/gene/2672","2672")</f>
        <v>2672</v>
      </c>
      <c r="B1615" s="1" t="s">
        <v>3922</v>
      </c>
      <c r="C1615" t="s">
        <v>3923</v>
      </c>
      <c r="D1615">
        <v>83.2</v>
      </c>
      <c r="E1615">
        <v>88.3</v>
      </c>
      <c r="F1615">
        <v>100</v>
      </c>
      <c r="G1615">
        <v>99.2</v>
      </c>
      <c r="H1615">
        <v>143.6</v>
      </c>
      <c r="I1615">
        <v>146.69999999999999</v>
      </c>
      <c r="J1615">
        <v>100</v>
      </c>
      <c r="K1615">
        <v>100</v>
      </c>
      <c r="L1615" s="1" t="s">
        <v>3922</v>
      </c>
      <c r="M1615" t="s">
        <v>3108</v>
      </c>
      <c r="N1615">
        <v>4</v>
      </c>
    </row>
    <row r="1616" spans="1:14" x14ac:dyDescent="0.25">
      <c r="A1616" s="3" t="str">
        <f>HYPERLINK("http://www.ncbi.nlm.nih.gov/gene/8328","8328")</f>
        <v>8328</v>
      </c>
      <c r="B1616" s="1" t="s">
        <v>3924</v>
      </c>
      <c r="C1616" t="s">
        <v>3925</v>
      </c>
      <c r="D1616">
        <v>170.1</v>
      </c>
      <c r="E1616">
        <v>171.2</v>
      </c>
      <c r="F1616">
        <v>98.5</v>
      </c>
      <c r="G1616">
        <v>96.7</v>
      </c>
      <c r="H1616">
        <v>167.9</v>
      </c>
      <c r="I1616">
        <v>172.2</v>
      </c>
      <c r="J1616">
        <v>100</v>
      </c>
      <c r="K1616">
        <v>100</v>
      </c>
      <c r="L1616" s="1" t="s">
        <v>3924</v>
      </c>
      <c r="M1616" t="s">
        <v>3926</v>
      </c>
      <c r="N1616">
        <v>2</v>
      </c>
    </row>
    <row r="1617" spans="1:14" x14ac:dyDescent="0.25">
      <c r="A1617" s="3" t="str">
        <f>HYPERLINK("http://www.ncbi.nlm.nih.gov/gene/85476","85476")</f>
        <v>85476</v>
      </c>
      <c r="B1617" s="1" t="s">
        <v>3927</v>
      </c>
      <c r="C1617" t="s">
        <v>3928</v>
      </c>
      <c r="D1617">
        <v>126.8</v>
      </c>
      <c r="E1617">
        <v>131.19999999999999</v>
      </c>
      <c r="F1617">
        <v>99.9</v>
      </c>
      <c r="G1617">
        <v>99.4</v>
      </c>
      <c r="H1617">
        <v>131.19999999999999</v>
      </c>
      <c r="I1617">
        <v>135.19999999999999</v>
      </c>
      <c r="J1617">
        <v>100</v>
      </c>
      <c r="K1617">
        <v>100</v>
      </c>
      <c r="L1617" s="1" t="s">
        <v>3927</v>
      </c>
      <c r="M1617" t="s">
        <v>3929</v>
      </c>
      <c r="N1617">
        <v>5</v>
      </c>
    </row>
    <row r="1618" spans="1:14" x14ac:dyDescent="0.25">
      <c r="A1618" s="3" t="str">
        <f>HYPERLINK("http://www.ncbi.nlm.nih.gov/gene/84340","84340")</f>
        <v>84340</v>
      </c>
      <c r="B1618" s="1" t="s">
        <v>3930</v>
      </c>
      <c r="C1618" t="s">
        <v>3931</v>
      </c>
      <c r="D1618">
        <v>132</v>
      </c>
      <c r="E1618">
        <v>137.5</v>
      </c>
      <c r="F1618">
        <v>98.9</v>
      </c>
      <c r="G1618">
        <v>95.2</v>
      </c>
      <c r="H1618">
        <v>138</v>
      </c>
      <c r="I1618">
        <v>141.69999999999999</v>
      </c>
      <c r="J1618">
        <v>100</v>
      </c>
      <c r="K1618">
        <v>100</v>
      </c>
      <c r="L1618" s="1" t="s">
        <v>3930</v>
      </c>
      <c r="M1618" t="s">
        <v>830</v>
      </c>
      <c r="N1618">
        <v>4</v>
      </c>
    </row>
    <row r="1619" spans="1:14" x14ac:dyDescent="0.25">
      <c r="A1619" s="3" t="str">
        <f>HYPERLINK("http://www.ncbi.nlm.nih.gov/gene/2673","2673")</f>
        <v>2673</v>
      </c>
      <c r="B1619" s="1" t="s">
        <v>3932</v>
      </c>
      <c r="C1619" t="s">
        <v>3933</v>
      </c>
      <c r="D1619">
        <v>184</v>
      </c>
      <c r="E1619">
        <v>190.8</v>
      </c>
      <c r="F1619">
        <v>100</v>
      </c>
      <c r="G1619">
        <v>99.4</v>
      </c>
      <c r="H1619">
        <v>135.1</v>
      </c>
      <c r="I1619">
        <v>138.6</v>
      </c>
      <c r="J1619">
        <v>100</v>
      </c>
      <c r="K1619">
        <v>100</v>
      </c>
      <c r="L1619" s="1" t="s">
        <v>3932</v>
      </c>
      <c r="M1619" t="s">
        <v>3934</v>
      </c>
      <c r="N1619">
        <v>4</v>
      </c>
    </row>
    <row r="1620" spans="1:14" x14ac:dyDescent="0.25">
      <c r="A1620" s="3" t="str">
        <f>HYPERLINK("http://www.ncbi.nlm.nih.gov/gene/2674","2674")</f>
        <v>2674</v>
      </c>
      <c r="B1620" s="1" t="s">
        <v>3935</v>
      </c>
      <c r="C1620" t="s">
        <v>3936</v>
      </c>
      <c r="D1620">
        <v>106.8</v>
      </c>
      <c r="E1620">
        <v>110.1</v>
      </c>
      <c r="F1620">
        <v>100</v>
      </c>
      <c r="G1620">
        <v>100</v>
      </c>
      <c r="H1620">
        <v>140.1</v>
      </c>
      <c r="I1620">
        <v>145.1</v>
      </c>
      <c r="J1620">
        <v>100</v>
      </c>
      <c r="K1620">
        <v>100</v>
      </c>
      <c r="L1620" s="1" t="s">
        <v>3935</v>
      </c>
      <c r="M1620" t="s">
        <v>998</v>
      </c>
      <c r="N1620">
        <v>2</v>
      </c>
    </row>
    <row r="1621" spans="1:14" x14ac:dyDescent="0.25">
      <c r="A1621" s="3" t="str">
        <f>HYPERLINK("http://www.ncbi.nlm.nih.gov/gene/2677","2677")</f>
        <v>2677</v>
      </c>
      <c r="B1621" s="1" t="s">
        <v>3937</v>
      </c>
      <c r="C1621" t="s">
        <v>3938</v>
      </c>
      <c r="D1621">
        <v>113.3</v>
      </c>
      <c r="E1621">
        <v>119</v>
      </c>
      <c r="F1621">
        <v>100</v>
      </c>
      <c r="G1621">
        <v>99.9</v>
      </c>
      <c r="H1621">
        <v>145.19999999999999</v>
      </c>
      <c r="I1621">
        <v>149.80000000000001</v>
      </c>
      <c r="J1621">
        <v>100</v>
      </c>
      <c r="K1621">
        <v>100</v>
      </c>
      <c r="L1621" s="1" t="s">
        <v>3937</v>
      </c>
      <c r="M1621" t="s">
        <v>3939</v>
      </c>
      <c r="N1621">
        <v>4</v>
      </c>
    </row>
    <row r="1622" spans="1:14" x14ac:dyDescent="0.25">
      <c r="A1622" s="3" t="str">
        <f>HYPERLINK("http://www.ncbi.nlm.nih.gov/gene/9453","9453")</f>
        <v>9453</v>
      </c>
      <c r="B1622" s="1" t="s">
        <v>3940</v>
      </c>
      <c r="C1622" t="s">
        <v>3941</v>
      </c>
      <c r="D1622">
        <v>206</v>
      </c>
      <c r="E1622">
        <v>202.2</v>
      </c>
      <c r="F1622">
        <v>100</v>
      </c>
      <c r="G1622">
        <v>100</v>
      </c>
      <c r="H1622">
        <v>146.19999999999999</v>
      </c>
      <c r="I1622">
        <v>143.69999999999999</v>
      </c>
      <c r="J1622">
        <v>100</v>
      </c>
      <c r="K1622">
        <v>100</v>
      </c>
      <c r="L1622" s="1" t="s">
        <v>3940</v>
      </c>
      <c r="M1622" t="s">
        <v>93</v>
      </c>
      <c r="N1622">
        <v>2</v>
      </c>
    </row>
    <row r="1623" spans="1:14" x14ac:dyDescent="0.25">
      <c r="A1623" s="3" t="str">
        <f>HYPERLINK("http://www.ncbi.nlm.nih.gov/gene/2678","2678")</f>
        <v>2678</v>
      </c>
      <c r="B1623" s="1" t="s">
        <v>3942</v>
      </c>
      <c r="C1623" t="s">
        <v>3943</v>
      </c>
      <c r="D1623">
        <v>13.8</v>
      </c>
      <c r="E1623">
        <v>13.7</v>
      </c>
      <c r="F1623">
        <v>19.899999999999999</v>
      </c>
      <c r="G1623">
        <v>18.399999999999999</v>
      </c>
      <c r="H1623">
        <v>202.2</v>
      </c>
      <c r="I1623">
        <v>208.2</v>
      </c>
      <c r="J1623">
        <v>100</v>
      </c>
      <c r="K1623">
        <v>100</v>
      </c>
      <c r="L1623" s="1" t="s">
        <v>3942</v>
      </c>
      <c r="M1623" t="s">
        <v>53</v>
      </c>
      <c r="N1623">
        <v>2</v>
      </c>
    </row>
    <row r="1624" spans="1:14" x14ac:dyDescent="0.25">
      <c r="A1624" s="3" t="str">
        <f>HYPERLINK("http://www.ncbi.nlm.nih.gov/gene/2688","2688")</f>
        <v>2688</v>
      </c>
      <c r="B1624" s="1" t="s">
        <v>3944</v>
      </c>
      <c r="C1624" t="s">
        <v>3945</v>
      </c>
      <c r="D1624">
        <v>170.2</v>
      </c>
      <c r="E1624">
        <v>176.4</v>
      </c>
      <c r="F1624">
        <v>100</v>
      </c>
      <c r="G1624">
        <v>100</v>
      </c>
      <c r="H1624">
        <v>199.8</v>
      </c>
      <c r="I1624">
        <v>203.3</v>
      </c>
      <c r="J1624">
        <v>100</v>
      </c>
      <c r="K1624">
        <v>100</v>
      </c>
      <c r="L1624" s="1" t="s">
        <v>3944</v>
      </c>
      <c r="M1624" t="s">
        <v>134</v>
      </c>
      <c r="N1624">
        <v>3</v>
      </c>
    </row>
    <row r="1625" spans="1:14" x14ac:dyDescent="0.25">
      <c r="A1625" s="3" t="str">
        <f>HYPERLINK("http://www.ncbi.nlm.nih.gov/gene/2690","2690")</f>
        <v>2690</v>
      </c>
      <c r="B1625" s="1" t="s">
        <v>3946</v>
      </c>
      <c r="C1625" t="s">
        <v>3947</v>
      </c>
      <c r="D1625">
        <v>166.8</v>
      </c>
      <c r="E1625">
        <v>174.1</v>
      </c>
      <c r="F1625">
        <v>99.6</v>
      </c>
      <c r="G1625">
        <v>99.5</v>
      </c>
      <c r="H1625">
        <v>145.1</v>
      </c>
      <c r="I1625">
        <v>148.19999999999999</v>
      </c>
      <c r="J1625">
        <v>99.8</v>
      </c>
      <c r="K1625">
        <v>99.8</v>
      </c>
      <c r="L1625" s="1" t="s">
        <v>3946</v>
      </c>
      <c r="M1625" t="s">
        <v>1190</v>
      </c>
      <c r="N1625">
        <v>3</v>
      </c>
    </row>
    <row r="1626" spans="1:14" x14ac:dyDescent="0.25">
      <c r="A1626" s="3" t="str">
        <f>HYPERLINK("http://www.ncbi.nlm.nih.gov/gene/2692","2692")</f>
        <v>2692</v>
      </c>
      <c r="B1626" s="1" t="s">
        <v>3948</v>
      </c>
      <c r="C1626" t="s">
        <v>3949</v>
      </c>
      <c r="D1626">
        <v>122.8</v>
      </c>
      <c r="E1626">
        <v>127.5</v>
      </c>
      <c r="F1626">
        <v>96.4</v>
      </c>
      <c r="G1626">
        <v>96.1</v>
      </c>
      <c r="H1626">
        <v>130.19999999999999</v>
      </c>
      <c r="I1626">
        <v>133.30000000000001</v>
      </c>
      <c r="J1626">
        <v>100</v>
      </c>
      <c r="K1626">
        <v>100</v>
      </c>
      <c r="L1626" s="1" t="s">
        <v>3948</v>
      </c>
      <c r="M1626" t="s">
        <v>3950</v>
      </c>
      <c r="N1626">
        <v>3</v>
      </c>
    </row>
    <row r="1627" spans="1:14" x14ac:dyDescent="0.25">
      <c r="A1627" s="3" t="str">
        <f>HYPERLINK("http://www.ncbi.nlm.nih.gov/gene/2693","2693")</f>
        <v>2693</v>
      </c>
      <c r="B1627" s="1" t="s">
        <v>3951</v>
      </c>
      <c r="C1627" t="s">
        <v>3952</v>
      </c>
      <c r="D1627">
        <v>152</v>
      </c>
      <c r="E1627">
        <v>160</v>
      </c>
      <c r="F1627">
        <v>98.5</v>
      </c>
      <c r="G1627">
        <v>95.8</v>
      </c>
      <c r="H1627">
        <v>156</v>
      </c>
      <c r="I1627">
        <v>160.1</v>
      </c>
      <c r="J1627">
        <v>100</v>
      </c>
      <c r="K1627">
        <v>100</v>
      </c>
      <c r="L1627" s="1" t="s">
        <v>3951</v>
      </c>
      <c r="M1627" t="s">
        <v>134</v>
      </c>
      <c r="N1627">
        <v>3</v>
      </c>
    </row>
    <row r="1628" spans="1:14" x14ac:dyDescent="0.25">
      <c r="A1628" s="3" t="str">
        <f>HYPERLINK("http://www.ncbi.nlm.nih.gov/gene/55340","55340")</f>
        <v>55340</v>
      </c>
      <c r="B1628" s="1" t="s">
        <v>3953</v>
      </c>
      <c r="C1628" t="s">
        <v>3954</v>
      </c>
      <c r="D1628">
        <v>212.2</v>
      </c>
      <c r="E1628">
        <v>208.7</v>
      </c>
      <c r="F1628">
        <v>100</v>
      </c>
      <c r="G1628">
        <v>100</v>
      </c>
      <c r="H1628">
        <v>160.9</v>
      </c>
      <c r="I1628">
        <v>160.69999999999999</v>
      </c>
      <c r="J1628">
        <v>100</v>
      </c>
      <c r="K1628">
        <v>100</v>
      </c>
      <c r="L1628" s="1" t="s">
        <v>3953</v>
      </c>
      <c r="M1628" t="s">
        <v>562</v>
      </c>
      <c r="N1628">
        <v>2</v>
      </c>
    </row>
    <row r="1629" spans="1:14" x14ac:dyDescent="0.25">
      <c r="A1629" s="3" t="str">
        <f>HYPERLINK("http://www.ncbi.nlm.nih.gov/gene/9837","9837")</f>
        <v>9837</v>
      </c>
      <c r="B1629" s="1" t="s">
        <v>3955</v>
      </c>
      <c r="C1629" t="s">
        <v>3956</v>
      </c>
      <c r="D1629">
        <v>137.1</v>
      </c>
      <c r="E1629">
        <v>140.19999999999999</v>
      </c>
      <c r="F1629">
        <v>99.3</v>
      </c>
      <c r="G1629">
        <v>94.9</v>
      </c>
      <c r="H1629">
        <v>129.4</v>
      </c>
      <c r="I1629">
        <v>131.30000000000001</v>
      </c>
      <c r="J1629">
        <v>100</v>
      </c>
      <c r="K1629">
        <v>100</v>
      </c>
      <c r="L1629" s="1" t="s">
        <v>3955</v>
      </c>
      <c r="M1629" t="s">
        <v>1097</v>
      </c>
      <c r="N1629">
        <v>3</v>
      </c>
    </row>
    <row r="1630" spans="1:14" x14ac:dyDescent="0.25">
      <c r="A1630" s="3" t="str">
        <f>HYPERLINK("http://www.ncbi.nlm.nih.gov/gene/126326","126326")</f>
        <v>126326</v>
      </c>
      <c r="B1630" s="1" t="s">
        <v>3957</v>
      </c>
      <c r="C1630" t="s">
        <v>3958</v>
      </c>
      <c r="D1630">
        <v>28.8</v>
      </c>
      <c r="E1630">
        <v>26.2</v>
      </c>
      <c r="F1630">
        <v>24.8</v>
      </c>
      <c r="G1630">
        <v>23</v>
      </c>
      <c r="H1630">
        <v>181.6</v>
      </c>
      <c r="I1630">
        <v>173.8</v>
      </c>
      <c r="J1630">
        <v>99.9</v>
      </c>
      <c r="K1630">
        <v>99.6</v>
      </c>
      <c r="L1630" s="1" t="s">
        <v>3957</v>
      </c>
      <c r="M1630" t="s">
        <v>269</v>
      </c>
      <c r="N1630">
        <v>3</v>
      </c>
    </row>
    <row r="1631" spans="1:14" x14ac:dyDescent="0.25">
      <c r="A1631" s="3" t="str">
        <f>HYPERLINK("http://www.ncbi.nlm.nih.gov/gene/2697","2697")</f>
        <v>2697</v>
      </c>
      <c r="B1631" s="1" t="s">
        <v>3959</v>
      </c>
      <c r="C1631" t="s">
        <v>3960</v>
      </c>
      <c r="D1631">
        <v>197.4</v>
      </c>
      <c r="E1631">
        <v>187.7</v>
      </c>
      <c r="F1631">
        <v>100</v>
      </c>
      <c r="G1631">
        <v>100</v>
      </c>
      <c r="H1631">
        <v>168.6</v>
      </c>
      <c r="I1631">
        <v>172</v>
      </c>
      <c r="J1631">
        <v>100</v>
      </c>
      <c r="K1631">
        <v>100</v>
      </c>
      <c r="L1631" s="1" t="s">
        <v>3959</v>
      </c>
      <c r="M1631" t="s">
        <v>3961</v>
      </c>
      <c r="N1631">
        <v>10</v>
      </c>
    </row>
    <row r="1632" spans="1:14" x14ac:dyDescent="0.25">
      <c r="A1632" s="3" t="str">
        <f>HYPERLINK("http://www.ncbi.nlm.nih.gov/gene/2700","2700")</f>
        <v>2700</v>
      </c>
      <c r="B1632" s="1" t="s">
        <v>3962</v>
      </c>
      <c r="C1632" t="s">
        <v>3963</v>
      </c>
      <c r="D1632">
        <v>153.19999999999999</v>
      </c>
      <c r="E1632">
        <v>147.69999999999999</v>
      </c>
      <c r="F1632">
        <v>100</v>
      </c>
      <c r="G1632">
        <v>99.7</v>
      </c>
      <c r="H1632">
        <v>178.8</v>
      </c>
      <c r="I1632">
        <v>175.5</v>
      </c>
      <c r="J1632">
        <v>100</v>
      </c>
      <c r="K1632">
        <v>100</v>
      </c>
      <c r="L1632" s="1" t="s">
        <v>3962</v>
      </c>
      <c r="M1632" t="s">
        <v>302</v>
      </c>
      <c r="N1632">
        <v>2</v>
      </c>
    </row>
    <row r="1633" spans="1:14" x14ac:dyDescent="0.25">
      <c r="A1633" s="3" t="str">
        <f>HYPERLINK("http://www.ncbi.nlm.nih.gov/gene/2702","2702")</f>
        <v>2702</v>
      </c>
      <c r="B1633" s="1" t="s">
        <v>3964</v>
      </c>
      <c r="C1633" t="s">
        <v>3965</v>
      </c>
      <c r="D1633">
        <v>228.3</v>
      </c>
      <c r="E1633">
        <v>229</v>
      </c>
      <c r="F1633">
        <v>100</v>
      </c>
      <c r="G1633">
        <v>100</v>
      </c>
      <c r="H1633">
        <v>161.1</v>
      </c>
      <c r="I1633">
        <v>163.19999999999999</v>
      </c>
      <c r="J1633">
        <v>100</v>
      </c>
      <c r="K1633">
        <v>100</v>
      </c>
      <c r="L1633" s="1" t="s">
        <v>3964</v>
      </c>
      <c r="M1633" t="s">
        <v>180</v>
      </c>
      <c r="N1633">
        <v>3</v>
      </c>
    </row>
    <row r="1634" spans="1:14" x14ac:dyDescent="0.25">
      <c r="A1634" s="3" t="str">
        <f>HYPERLINK("http://www.ncbi.nlm.nih.gov/gene/2703","2703")</f>
        <v>2703</v>
      </c>
      <c r="B1634" s="1" t="s">
        <v>3966</v>
      </c>
      <c r="C1634" t="s">
        <v>3967</v>
      </c>
      <c r="D1634">
        <v>167.3</v>
      </c>
      <c r="E1634">
        <v>173.4</v>
      </c>
      <c r="F1634">
        <v>100</v>
      </c>
      <c r="G1634">
        <v>100</v>
      </c>
      <c r="H1634">
        <v>160</v>
      </c>
      <c r="I1634">
        <v>161.80000000000001</v>
      </c>
      <c r="J1634">
        <v>100</v>
      </c>
      <c r="K1634">
        <v>100</v>
      </c>
      <c r="L1634" s="1" t="s">
        <v>3966</v>
      </c>
      <c r="M1634" t="s">
        <v>302</v>
      </c>
      <c r="N1634">
        <v>2</v>
      </c>
    </row>
    <row r="1635" spans="1:14" x14ac:dyDescent="0.25">
      <c r="A1635" s="3" t="str">
        <f>HYPERLINK("http://www.ncbi.nlm.nih.gov/gene/2705","2705")</f>
        <v>2705</v>
      </c>
      <c r="B1635" s="1" t="s">
        <v>3968</v>
      </c>
      <c r="C1635" t="s">
        <v>3969</v>
      </c>
      <c r="D1635">
        <v>166.9</v>
      </c>
      <c r="E1635">
        <v>169.1</v>
      </c>
      <c r="F1635">
        <v>100</v>
      </c>
      <c r="G1635">
        <v>100</v>
      </c>
      <c r="H1635">
        <v>170.9</v>
      </c>
      <c r="I1635">
        <v>178.3</v>
      </c>
      <c r="J1635">
        <v>100</v>
      </c>
      <c r="K1635">
        <v>100</v>
      </c>
      <c r="L1635" s="1" t="s">
        <v>3968</v>
      </c>
      <c r="M1635" t="s">
        <v>3970</v>
      </c>
      <c r="N1635">
        <v>3</v>
      </c>
    </row>
    <row r="1636" spans="1:14" x14ac:dyDescent="0.25">
      <c r="A1636" s="3" t="str">
        <f>HYPERLINK("http://www.ncbi.nlm.nih.gov/gene/2706","2706")</f>
        <v>2706</v>
      </c>
      <c r="B1636" s="1" t="s">
        <v>3971</v>
      </c>
      <c r="C1636" t="s">
        <v>3972</v>
      </c>
      <c r="D1636">
        <v>159.1</v>
      </c>
      <c r="E1636">
        <v>135.4</v>
      </c>
      <c r="F1636">
        <v>100</v>
      </c>
      <c r="G1636">
        <v>100</v>
      </c>
      <c r="H1636">
        <v>161.9</v>
      </c>
      <c r="I1636">
        <v>160.9</v>
      </c>
      <c r="J1636">
        <v>100</v>
      </c>
      <c r="K1636">
        <v>100</v>
      </c>
      <c r="L1636" s="1" t="s">
        <v>3971</v>
      </c>
      <c r="M1636" t="s">
        <v>3973</v>
      </c>
      <c r="N1636">
        <v>4</v>
      </c>
    </row>
    <row r="1637" spans="1:14" x14ac:dyDescent="0.25">
      <c r="A1637" s="3" t="str">
        <f>HYPERLINK("http://www.ncbi.nlm.nih.gov/gene/2707","2707")</f>
        <v>2707</v>
      </c>
      <c r="B1637" s="1" t="s">
        <v>3974</v>
      </c>
      <c r="C1637" t="s">
        <v>3975</v>
      </c>
      <c r="D1637">
        <v>251.5</v>
      </c>
      <c r="E1637">
        <v>250.6</v>
      </c>
      <c r="F1637">
        <v>100</v>
      </c>
      <c r="G1637">
        <v>100</v>
      </c>
      <c r="H1637">
        <v>167.9</v>
      </c>
      <c r="I1637">
        <v>153.5</v>
      </c>
      <c r="J1637">
        <v>100</v>
      </c>
      <c r="K1637">
        <v>100</v>
      </c>
      <c r="L1637" s="1" t="s">
        <v>3974</v>
      </c>
      <c r="M1637" t="s">
        <v>3976</v>
      </c>
      <c r="N1637">
        <v>4</v>
      </c>
    </row>
    <row r="1638" spans="1:14" x14ac:dyDescent="0.25">
      <c r="A1638" s="3" t="str">
        <f>HYPERLINK("http://www.ncbi.nlm.nih.gov/gene/127534","127534")</f>
        <v>127534</v>
      </c>
      <c r="B1638" s="1" t="s">
        <v>3977</v>
      </c>
      <c r="C1638" t="s">
        <v>3978</v>
      </c>
      <c r="D1638">
        <v>232.8</v>
      </c>
      <c r="E1638">
        <v>245.8</v>
      </c>
      <c r="F1638">
        <v>100</v>
      </c>
      <c r="G1638">
        <v>100</v>
      </c>
      <c r="H1638">
        <v>180.8</v>
      </c>
      <c r="I1638">
        <v>175.4</v>
      </c>
      <c r="J1638">
        <v>100</v>
      </c>
      <c r="K1638">
        <v>100</v>
      </c>
      <c r="L1638" s="1" t="s">
        <v>3977</v>
      </c>
      <c r="M1638" t="s">
        <v>29</v>
      </c>
      <c r="N1638">
        <v>2</v>
      </c>
    </row>
    <row r="1639" spans="1:14" x14ac:dyDescent="0.25">
      <c r="A1639" s="3" t="str">
        <f>HYPERLINK("http://www.ncbi.nlm.nih.gov/gene/10804","10804")</f>
        <v>10804</v>
      </c>
      <c r="B1639" s="1" t="s">
        <v>3979</v>
      </c>
      <c r="C1639" t="s">
        <v>3980</v>
      </c>
      <c r="D1639">
        <v>159.19999999999999</v>
      </c>
      <c r="E1639">
        <v>145.5</v>
      </c>
      <c r="F1639">
        <v>100</v>
      </c>
      <c r="G1639">
        <v>100</v>
      </c>
      <c r="H1639">
        <v>154</v>
      </c>
      <c r="I1639">
        <v>154.80000000000001</v>
      </c>
      <c r="J1639">
        <v>100</v>
      </c>
      <c r="K1639">
        <v>100</v>
      </c>
      <c r="L1639" s="1" t="s">
        <v>3979</v>
      </c>
      <c r="M1639" t="s">
        <v>3981</v>
      </c>
      <c r="N1639">
        <v>5</v>
      </c>
    </row>
    <row r="1640" spans="1:14" x14ac:dyDescent="0.25">
      <c r="A1640" s="3" t="str">
        <f>HYPERLINK("http://www.ncbi.nlm.nih.gov/gene/57165","57165")</f>
        <v>57165</v>
      </c>
      <c r="B1640" s="1" t="s">
        <v>3982</v>
      </c>
      <c r="C1640" t="s">
        <v>3983</v>
      </c>
      <c r="D1640">
        <v>62.7</v>
      </c>
      <c r="E1640">
        <v>37</v>
      </c>
      <c r="F1640">
        <v>78.2</v>
      </c>
      <c r="G1640">
        <v>58.7</v>
      </c>
      <c r="H1640">
        <v>99</v>
      </c>
      <c r="I1640">
        <v>108.7</v>
      </c>
      <c r="J1640">
        <v>96.9</v>
      </c>
      <c r="K1640">
        <v>91.4</v>
      </c>
      <c r="L1640" s="1" t="s">
        <v>3982</v>
      </c>
      <c r="M1640" t="s">
        <v>3984</v>
      </c>
      <c r="N1640">
        <v>6</v>
      </c>
    </row>
    <row r="1641" spans="1:14" x14ac:dyDescent="0.25">
      <c r="A1641" s="3" t="str">
        <f>HYPERLINK("http://www.ncbi.nlm.nih.gov/gene/2710","2710")</f>
        <v>2710</v>
      </c>
      <c r="B1641" s="1" t="s">
        <v>3985</v>
      </c>
      <c r="C1641" t="s">
        <v>3986</v>
      </c>
      <c r="D1641">
        <v>57</v>
      </c>
      <c r="E1641">
        <v>56.7</v>
      </c>
      <c r="F1641">
        <v>88.9</v>
      </c>
      <c r="G1641">
        <v>70.400000000000006</v>
      </c>
      <c r="H1641">
        <v>118.5</v>
      </c>
      <c r="I1641">
        <v>121.1</v>
      </c>
      <c r="J1641">
        <v>100</v>
      </c>
      <c r="K1641">
        <v>99.9</v>
      </c>
      <c r="L1641" s="1" t="s">
        <v>3985</v>
      </c>
      <c r="M1641" t="s">
        <v>3987</v>
      </c>
      <c r="N1641">
        <v>4</v>
      </c>
    </row>
    <row r="1642" spans="1:14" x14ac:dyDescent="0.25">
      <c r="A1642" s="3" t="str">
        <f>HYPERLINK("http://www.ncbi.nlm.nih.gov/gene/2717","2717")</f>
        <v>2717</v>
      </c>
      <c r="B1642" s="1" t="s">
        <v>3988</v>
      </c>
      <c r="C1642" t="s">
        <v>3989</v>
      </c>
      <c r="D1642">
        <v>77.5</v>
      </c>
      <c r="E1642">
        <v>81.900000000000006</v>
      </c>
      <c r="F1642">
        <v>91.1</v>
      </c>
      <c r="G1642">
        <v>88.2</v>
      </c>
      <c r="H1642">
        <v>128.69999999999999</v>
      </c>
      <c r="I1642">
        <v>133.30000000000001</v>
      </c>
      <c r="J1642">
        <v>91.3</v>
      </c>
      <c r="K1642">
        <v>91.3</v>
      </c>
      <c r="L1642" s="1" t="s">
        <v>3988</v>
      </c>
      <c r="M1642" t="s">
        <v>3990</v>
      </c>
      <c r="N1642">
        <v>8</v>
      </c>
    </row>
    <row r="1643" spans="1:14" x14ac:dyDescent="0.25">
      <c r="A1643" s="3" t="str">
        <f>HYPERLINK("http://www.ncbi.nlm.nih.gov/gene/2720","2720")</f>
        <v>2720</v>
      </c>
      <c r="B1643" s="1" t="s">
        <v>3991</v>
      </c>
      <c r="C1643" t="s">
        <v>3992</v>
      </c>
      <c r="D1643">
        <v>86.6</v>
      </c>
      <c r="E1643">
        <v>89.8</v>
      </c>
      <c r="F1643">
        <v>99.9</v>
      </c>
      <c r="G1643">
        <v>97.4</v>
      </c>
      <c r="H1643">
        <v>140.80000000000001</v>
      </c>
      <c r="I1643">
        <v>143.80000000000001</v>
      </c>
      <c r="J1643">
        <v>100</v>
      </c>
      <c r="K1643">
        <v>100</v>
      </c>
      <c r="L1643" s="1" t="s">
        <v>3991</v>
      </c>
      <c r="M1643" t="s">
        <v>3993</v>
      </c>
      <c r="N1643">
        <v>8</v>
      </c>
    </row>
    <row r="1644" spans="1:14" x14ac:dyDescent="0.25">
      <c r="A1644" s="3" t="str">
        <f>HYPERLINK("http://www.ncbi.nlm.nih.gov/gene/2731","2731")</f>
        <v>2731</v>
      </c>
      <c r="B1644" s="1" t="s">
        <v>3994</v>
      </c>
      <c r="C1644" t="s">
        <v>3995</v>
      </c>
      <c r="D1644">
        <v>72.8</v>
      </c>
      <c r="E1644">
        <v>70.900000000000006</v>
      </c>
      <c r="F1644">
        <v>89.9</v>
      </c>
      <c r="G1644">
        <v>82</v>
      </c>
      <c r="H1644">
        <v>141.5</v>
      </c>
      <c r="I1644">
        <v>145.6</v>
      </c>
      <c r="J1644">
        <v>100</v>
      </c>
      <c r="K1644">
        <v>99.9</v>
      </c>
      <c r="L1644" s="1" t="s">
        <v>3994</v>
      </c>
      <c r="M1644" t="s">
        <v>214</v>
      </c>
      <c r="N1644">
        <v>5</v>
      </c>
    </row>
    <row r="1645" spans="1:14" x14ac:dyDescent="0.25">
      <c r="A1645" s="3" t="str">
        <f>HYPERLINK("http://www.ncbi.nlm.nih.gov/gene/342035","342035")</f>
        <v>342035</v>
      </c>
      <c r="B1645" s="1" t="s">
        <v>3996</v>
      </c>
      <c r="C1645" t="s">
        <v>3997</v>
      </c>
      <c r="D1645">
        <v>116.4</v>
      </c>
      <c r="E1645">
        <v>114</v>
      </c>
      <c r="F1645">
        <v>94.6</v>
      </c>
      <c r="G1645">
        <v>91</v>
      </c>
      <c r="H1645">
        <v>116.6</v>
      </c>
      <c r="I1645">
        <v>118.9</v>
      </c>
      <c r="J1645">
        <v>100</v>
      </c>
      <c r="K1645">
        <v>100</v>
      </c>
      <c r="L1645" s="1" t="s">
        <v>3996</v>
      </c>
      <c r="M1645" t="s">
        <v>280</v>
      </c>
      <c r="N1645">
        <v>3</v>
      </c>
    </row>
    <row r="1646" spans="1:14" x14ac:dyDescent="0.25">
      <c r="A1646" s="3" t="str">
        <f>HYPERLINK("http://www.ncbi.nlm.nih.gov/gene/2733","2733")</f>
        <v>2733</v>
      </c>
      <c r="B1646" s="1" t="s">
        <v>3998</v>
      </c>
      <c r="C1646" t="s">
        <v>3999</v>
      </c>
      <c r="D1646">
        <v>100.9</v>
      </c>
      <c r="E1646">
        <v>103.6</v>
      </c>
      <c r="F1646">
        <v>100</v>
      </c>
      <c r="G1646">
        <v>100</v>
      </c>
      <c r="H1646">
        <v>130.4</v>
      </c>
      <c r="I1646">
        <v>133.80000000000001</v>
      </c>
      <c r="J1646">
        <v>100</v>
      </c>
      <c r="K1646">
        <v>100</v>
      </c>
      <c r="L1646" s="1" t="s">
        <v>3998</v>
      </c>
      <c r="M1646" t="s">
        <v>2045</v>
      </c>
      <c r="N1646">
        <v>4</v>
      </c>
    </row>
    <row r="1647" spans="1:14" x14ac:dyDescent="0.25">
      <c r="A1647" s="3" t="str">
        <f>HYPERLINK("http://www.ncbi.nlm.nih.gov/gene/2735","2735")</f>
        <v>2735</v>
      </c>
      <c r="B1647" s="1" t="s">
        <v>4000</v>
      </c>
      <c r="C1647" t="s">
        <v>4001</v>
      </c>
      <c r="D1647">
        <v>137.30000000000001</v>
      </c>
      <c r="E1647">
        <v>136.80000000000001</v>
      </c>
      <c r="F1647">
        <v>100</v>
      </c>
      <c r="G1647">
        <v>99.8</v>
      </c>
      <c r="H1647">
        <v>157.69999999999999</v>
      </c>
      <c r="I1647">
        <v>156.9</v>
      </c>
      <c r="J1647">
        <v>100</v>
      </c>
      <c r="K1647">
        <v>100</v>
      </c>
      <c r="L1647" s="1" t="s">
        <v>4000</v>
      </c>
      <c r="M1647" t="s">
        <v>59</v>
      </c>
      <c r="N1647">
        <v>1</v>
      </c>
    </row>
    <row r="1648" spans="1:14" x14ac:dyDescent="0.25">
      <c r="A1648" s="3" t="str">
        <f>HYPERLINK("http://www.ncbi.nlm.nih.gov/gene/2736","2736")</f>
        <v>2736</v>
      </c>
      <c r="B1648" s="1" t="s">
        <v>4002</v>
      </c>
      <c r="C1648" t="s">
        <v>4003</v>
      </c>
      <c r="D1648">
        <v>154.30000000000001</v>
      </c>
      <c r="E1648">
        <v>155.69999999999999</v>
      </c>
      <c r="F1648">
        <v>99.1</v>
      </c>
      <c r="G1648">
        <v>97.4</v>
      </c>
      <c r="H1648">
        <v>154</v>
      </c>
      <c r="I1648">
        <v>159.19999999999999</v>
      </c>
      <c r="J1648">
        <v>100</v>
      </c>
      <c r="K1648">
        <v>99.8</v>
      </c>
      <c r="L1648" s="1" t="s">
        <v>4002</v>
      </c>
      <c r="M1648" t="s">
        <v>3056</v>
      </c>
      <c r="N1648">
        <v>5</v>
      </c>
    </row>
    <row r="1649" spans="1:14" x14ac:dyDescent="0.25">
      <c r="A1649" s="3" t="str">
        <f>HYPERLINK("http://www.ncbi.nlm.nih.gov/gene/2737","2737")</f>
        <v>2737</v>
      </c>
      <c r="B1649" s="1" t="s">
        <v>4004</v>
      </c>
      <c r="C1649" t="s">
        <v>4005</v>
      </c>
      <c r="D1649">
        <v>142</v>
      </c>
      <c r="E1649">
        <v>140.80000000000001</v>
      </c>
      <c r="F1649">
        <v>98.5</v>
      </c>
      <c r="G1649">
        <v>98</v>
      </c>
      <c r="H1649">
        <v>155.4</v>
      </c>
      <c r="I1649">
        <v>158.4</v>
      </c>
      <c r="J1649">
        <v>100</v>
      </c>
      <c r="K1649">
        <v>100</v>
      </c>
      <c r="L1649" s="1" t="s">
        <v>4004</v>
      </c>
      <c r="M1649" t="s">
        <v>4006</v>
      </c>
      <c r="N1649">
        <v>7</v>
      </c>
    </row>
    <row r="1650" spans="1:14" x14ac:dyDescent="0.25">
      <c r="A1650" s="3" t="str">
        <f>HYPERLINK("http://www.ncbi.nlm.nih.gov/gene/84662","84662")</f>
        <v>84662</v>
      </c>
      <c r="B1650" s="1" t="s">
        <v>4007</v>
      </c>
      <c r="C1650" t="s">
        <v>4008</v>
      </c>
      <c r="D1650">
        <v>143.6</v>
      </c>
      <c r="E1650">
        <v>136.6</v>
      </c>
      <c r="F1650">
        <v>100</v>
      </c>
      <c r="G1650">
        <v>99.8</v>
      </c>
      <c r="H1650">
        <v>209.1</v>
      </c>
      <c r="I1650">
        <v>210.4</v>
      </c>
      <c r="J1650">
        <v>100</v>
      </c>
      <c r="K1650">
        <v>100</v>
      </c>
      <c r="L1650" s="1" t="s">
        <v>4007</v>
      </c>
      <c r="M1650" t="s">
        <v>4009</v>
      </c>
      <c r="N1650">
        <v>4</v>
      </c>
    </row>
    <row r="1651" spans="1:14" x14ac:dyDescent="0.25">
      <c r="A1651" s="3" t="str">
        <f>HYPERLINK("http://www.ncbi.nlm.nih.gov/gene/169792","169792")</f>
        <v>169792</v>
      </c>
      <c r="B1651" s="1" t="s">
        <v>4010</v>
      </c>
      <c r="C1651" t="s">
        <v>4011</v>
      </c>
      <c r="D1651">
        <v>134.6</v>
      </c>
      <c r="E1651">
        <v>136.1</v>
      </c>
      <c r="F1651">
        <v>98.6</v>
      </c>
      <c r="G1651">
        <v>98.2</v>
      </c>
      <c r="H1651">
        <v>153.5</v>
      </c>
      <c r="I1651">
        <v>156</v>
      </c>
      <c r="J1651">
        <v>100</v>
      </c>
      <c r="K1651">
        <v>100</v>
      </c>
      <c r="L1651" s="1" t="s">
        <v>4010</v>
      </c>
      <c r="M1651" t="s">
        <v>4012</v>
      </c>
      <c r="N1651">
        <v>5</v>
      </c>
    </row>
    <row r="1652" spans="1:14" x14ac:dyDescent="0.25">
      <c r="A1652" s="3" t="str">
        <f>HYPERLINK("http://www.ncbi.nlm.nih.gov/gene/11146","11146")</f>
        <v>11146</v>
      </c>
      <c r="B1652" s="1" t="s">
        <v>4013</v>
      </c>
      <c r="C1652" t="s">
        <v>4014</v>
      </c>
      <c r="D1652">
        <v>79.3</v>
      </c>
      <c r="E1652">
        <v>81.400000000000006</v>
      </c>
      <c r="F1652">
        <v>99.3</v>
      </c>
      <c r="G1652">
        <v>94.7</v>
      </c>
      <c r="H1652">
        <v>121.3</v>
      </c>
      <c r="I1652">
        <v>124.9</v>
      </c>
      <c r="J1652">
        <v>100</v>
      </c>
      <c r="K1652">
        <v>100</v>
      </c>
      <c r="L1652" s="1" t="s">
        <v>4013</v>
      </c>
      <c r="M1652" t="s">
        <v>29</v>
      </c>
      <c r="N1652">
        <v>2</v>
      </c>
    </row>
    <row r="1653" spans="1:14" x14ac:dyDescent="0.25">
      <c r="A1653" s="3" t="str">
        <f>HYPERLINK("http://www.ncbi.nlm.nih.gov/gene/2741","2741")</f>
        <v>2741</v>
      </c>
      <c r="B1653" s="1" t="s">
        <v>4015</v>
      </c>
      <c r="C1653" t="s">
        <v>4016</v>
      </c>
      <c r="D1653">
        <v>112.2</v>
      </c>
      <c r="E1653">
        <v>116.2</v>
      </c>
      <c r="F1653">
        <v>100</v>
      </c>
      <c r="G1653">
        <v>99.8</v>
      </c>
      <c r="H1653">
        <v>143.9</v>
      </c>
      <c r="I1653">
        <v>148.69999999999999</v>
      </c>
      <c r="J1653">
        <v>100</v>
      </c>
      <c r="K1653">
        <v>100</v>
      </c>
      <c r="L1653" s="1" t="s">
        <v>4015</v>
      </c>
      <c r="M1653" t="s">
        <v>4017</v>
      </c>
      <c r="N1653">
        <v>4</v>
      </c>
    </row>
    <row r="1654" spans="1:14" x14ac:dyDescent="0.25">
      <c r="A1654" s="3" t="str">
        <f>HYPERLINK("http://www.ncbi.nlm.nih.gov/gene/2743","2743")</f>
        <v>2743</v>
      </c>
      <c r="B1654" s="1" t="s">
        <v>4018</v>
      </c>
      <c r="C1654" t="s">
        <v>4019</v>
      </c>
      <c r="D1654">
        <v>117</v>
      </c>
      <c r="E1654">
        <v>119.9</v>
      </c>
      <c r="F1654">
        <v>99.2</v>
      </c>
      <c r="G1654">
        <v>95.1</v>
      </c>
      <c r="H1654">
        <v>126.7</v>
      </c>
      <c r="I1654">
        <v>131</v>
      </c>
      <c r="J1654">
        <v>100</v>
      </c>
      <c r="K1654">
        <v>100</v>
      </c>
      <c r="L1654" s="1" t="s">
        <v>4018</v>
      </c>
      <c r="M1654" t="s">
        <v>2040</v>
      </c>
      <c r="N1654">
        <v>3</v>
      </c>
    </row>
    <row r="1655" spans="1:14" x14ac:dyDescent="0.25">
      <c r="A1655" s="3" t="str">
        <f>HYPERLINK("http://www.ncbi.nlm.nih.gov/gene/51218","51218")</f>
        <v>51218</v>
      </c>
      <c r="B1655" s="1" t="s">
        <v>4020</v>
      </c>
      <c r="C1655" t="s">
        <v>4021</v>
      </c>
      <c r="D1655">
        <v>118.3</v>
      </c>
      <c r="E1655">
        <v>129.19999999999999</v>
      </c>
      <c r="F1655">
        <v>97.3</v>
      </c>
      <c r="G1655">
        <v>89.1</v>
      </c>
      <c r="H1655">
        <v>106.2</v>
      </c>
      <c r="I1655">
        <v>113.7</v>
      </c>
      <c r="J1655">
        <v>99.6</v>
      </c>
      <c r="K1655">
        <v>95.4</v>
      </c>
      <c r="L1655" s="1" t="s">
        <v>4020</v>
      </c>
      <c r="M1655" t="s">
        <v>4022</v>
      </c>
      <c r="N1655">
        <v>5</v>
      </c>
    </row>
    <row r="1656" spans="1:14" x14ac:dyDescent="0.25">
      <c r="A1656" s="3" t="str">
        <f>HYPERLINK("http://www.ncbi.nlm.nih.gov/gene/2744","2744")</f>
        <v>2744</v>
      </c>
      <c r="B1656" s="1" t="s">
        <v>4023</v>
      </c>
      <c r="C1656" t="s">
        <v>4024</v>
      </c>
      <c r="D1656">
        <v>94.1</v>
      </c>
      <c r="E1656">
        <v>95.2</v>
      </c>
      <c r="F1656">
        <v>96.3</v>
      </c>
      <c r="G1656">
        <v>87.2</v>
      </c>
      <c r="H1656">
        <v>115.1</v>
      </c>
      <c r="I1656">
        <v>118.3</v>
      </c>
      <c r="J1656">
        <v>100</v>
      </c>
      <c r="K1656">
        <v>99.9</v>
      </c>
      <c r="L1656" s="1" t="s">
        <v>4023</v>
      </c>
      <c r="M1656" t="s">
        <v>4025</v>
      </c>
      <c r="N1656">
        <v>3</v>
      </c>
    </row>
    <row r="1657" spans="1:14" x14ac:dyDescent="0.25">
      <c r="A1657" s="3" t="str">
        <f>HYPERLINK("http://www.ncbi.nlm.nih.gov/gene/2746","2746")</f>
        <v>2746</v>
      </c>
      <c r="B1657" s="1" t="s">
        <v>4026</v>
      </c>
      <c r="C1657" t="s">
        <v>4027</v>
      </c>
      <c r="D1657">
        <v>71.599999999999994</v>
      </c>
      <c r="E1657">
        <v>72.8</v>
      </c>
      <c r="F1657">
        <v>94.2</v>
      </c>
      <c r="G1657">
        <v>82.9</v>
      </c>
      <c r="H1657">
        <v>163.69999999999999</v>
      </c>
      <c r="I1657">
        <v>174.1</v>
      </c>
      <c r="J1657">
        <v>100</v>
      </c>
      <c r="K1657">
        <v>100</v>
      </c>
      <c r="L1657" s="1" t="s">
        <v>4026</v>
      </c>
      <c r="M1657" t="s">
        <v>4028</v>
      </c>
      <c r="N1657">
        <v>5</v>
      </c>
    </row>
    <row r="1658" spans="1:14" x14ac:dyDescent="0.25">
      <c r="A1658" s="3" t="str">
        <f>HYPERLINK("http://www.ncbi.nlm.nih.gov/gene/2752","2752")</f>
        <v>2752</v>
      </c>
      <c r="B1658" s="1" t="s">
        <v>4029</v>
      </c>
      <c r="C1658" t="s">
        <v>4030</v>
      </c>
      <c r="D1658">
        <v>80</v>
      </c>
      <c r="E1658">
        <v>76.599999999999994</v>
      </c>
      <c r="F1658">
        <v>74.400000000000006</v>
      </c>
      <c r="G1658">
        <v>73.2</v>
      </c>
      <c r="H1658">
        <v>151.5</v>
      </c>
      <c r="I1658">
        <v>156</v>
      </c>
      <c r="J1658">
        <v>100</v>
      </c>
      <c r="K1658">
        <v>100</v>
      </c>
      <c r="L1658" s="1" t="s">
        <v>4029</v>
      </c>
      <c r="M1658" t="s">
        <v>116</v>
      </c>
      <c r="N1658">
        <v>3</v>
      </c>
    </row>
    <row r="1659" spans="1:14" x14ac:dyDescent="0.25">
      <c r="A1659" s="3" t="str">
        <f>HYPERLINK("http://www.ncbi.nlm.nih.gov/gene/132158","132158")</f>
        <v>132158</v>
      </c>
      <c r="B1659" s="1" t="s">
        <v>4031</v>
      </c>
      <c r="C1659" t="s">
        <v>4032</v>
      </c>
      <c r="D1659">
        <v>153.30000000000001</v>
      </c>
      <c r="E1659">
        <v>155.6</v>
      </c>
      <c r="F1659">
        <v>98.8</v>
      </c>
      <c r="G1659">
        <v>97.3</v>
      </c>
      <c r="H1659">
        <v>145</v>
      </c>
      <c r="I1659">
        <v>145.30000000000001</v>
      </c>
      <c r="J1659">
        <v>100</v>
      </c>
      <c r="K1659">
        <v>100</v>
      </c>
      <c r="L1659" s="1" t="s">
        <v>4031</v>
      </c>
      <c r="M1659" t="s">
        <v>38</v>
      </c>
      <c r="N1659">
        <v>4</v>
      </c>
    </row>
    <row r="1660" spans="1:14" x14ac:dyDescent="0.25">
      <c r="A1660" s="3" t="str">
        <f>HYPERLINK("http://www.ncbi.nlm.nih.gov/gene/2760","2760")</f>
        <v>2760</v>
      </c>
      <c r="B1660" s="1" t="s">
        <v>4033</v>
      </c>
      <c r="C1660" t="s">
        <v>4034</v>
      </c>
      <c r="D1660">
        <v>127.3</v>
      </c>
      <c r="E1660">
        <v>131.5</v>
      </c>
      <c r="F1660">
        <v>100</v>
      </c>
      <c r="G1660">
        <v>100</v>
      </c>
      <c r="H1660">
        <v>159.4</v>
      </c>
      <c r="I1660">
        <v>163.6</v>
      </c>
      <c r="J1660">
        <v>100</v>
      </c>
      <c r="K1660">
        <v>100</v>
      </c>
      <c r="L1660" s="1" t="s">
        <v>4033</v>
      </c>
      <c r="M1660" t="s">
        <v>38</v>
      </c>
      <c r="N1660">
        <v>4</v>
      </c>
    </row>
    <row r="1661" spans="1:14" x14ac:dyDescent="0.25">
      <c r="A1661" s="3" t="str">
        <f>HYPERLINK("http://www.ncbi.nlm.nih.gov/gene/51053","51053")</f>
        <v>51053</v>
      </c>
      <c r="B1661" s="1" t="s">
        <v>4035</v>
      </c>
      <c r="C1661" t="s">
        <v>4036</v>
      </c>
      <c r="D1661">
        <v>139.30000000000001</v>
      </c>
      <c r="E1661">
        <v>147.4</v>
      </c>
      <c r="F1661">
        <v>99.8</v>
      </c>
      <c r="G1661">
        <v>97.4</v>
      </c>
      <c r="H1661">
        <v>101.3</v>
      </c>
      <c r="I1661">
        <v>103.8</v>
      </c>
      <c r="J1661">
        <v>100</v>
      </c>
      <c r="K1661">
        <v>100</v>
      </c>
      <c r="L1661" s="1" t="s">
        <v>4035</v>
      </c>
      <c r="M1661" t="s">
        <v>1253</v>
      </c>
      <c r="N1661">
        <v>2</v>
      </c>
    </row>
    <row r="1662" spans="1:14" x14ac:dyDescent="0.25">
      <c r="A1662" s="3" t="str">
        <f>HYPERLINK("http://www.ncbi.nlm.nih.gov/gene/29926","29926")</f>
        <v>29926</v>
      </c>
      <c r="B1662" s="1" t="s">
        <v>4037</v>
      </c>
      <c r="C1662" t="s">
        <v>4038</v>
      </c>
      <c r="D1662">
        <v>161.30000000000001</v>
      </c>
      <c r="E1662">
        <v>169.3</v>
      </c>
      <c r="F1662">
        <v>100</v>
      </c>
      <c r="G1662">
        <v>100</v>
      </c>
      <c r="H1662">
        <v>156.80000000000001</v>
      </c>
      <c r="I1662">
        <v>159.5</v>
      </c>
      <c r="J1662">
        <v>100</v>
      </c>
      <c r="K1662">
        <v>100</v>
      </c>
      <c r="L1662" s="1" t="s">
        <v>4037</v>
      </c>
      <c r="M1662" t="s">
        <v>110</v>
      </c>
      <c r="N1662">
        <v>5</v>
      </c>
    </row>
    <row r="1663" spans="1:14" x14ac:dyDescent="0.25">
      <c r="A1663" s="3" t="str">
        <f>HYPERLINK("http://www.ncbi.nlm.nih.gov/gene/29925","29925")</f>
        <v>29925</v>
      </c>
      <c r="B1663" s="1" t="s">
        <v>4039</v>
      </c>
      <c r="C1663" t="s">
        <v>4040</v>
      </c>
      <c r="D1663">
        <v>244.6</v>
      </c>
      <c r="E1663">
        <v>245.6</v>
      </c>
      <c r="F1663">
        <v>100</v>
      </c>
      <c r="G1663">
        <v>100</v>
      </c>
      <c r="H1663">
        <v>145.5</v>
      </c>
      <c r="I1663">
        <v>146</v>
      </c>
      <c r="J1663">
        <v>100</v>
      </c>
      <c r="K1663">
        <v>100</v>
      </c>
      <c r="L1663" s="1" t="s">
        <v>4039</v>
      </c>
      <c r="M1663" t="s">
        <v>3581</v>
      </c>
      <c r="N1663">
        <v>7</v>
      </c>
    </row>
    <row r="1664" spans="1:14" x14ac:dyDescent="0.25">
      <c r="A1664" s="3" t="str">
        <f>HYPERLINK("http://www.ncbi.nlm.nih.gov/gene/2766","2766")</f>
        <v>2766</v>
      </c>
      <c r="B1664" s="1" t="s">
        <v>4041</v>
      </c>
      <c r="C1664" t="s">
        <v>4042</v>
      </c>
      <c r="D1664">
        <v>132.19999999999999</v>
      </c>
      <c r="E1664">
        <v>135.9</v>
      </c>
      <c r="F1664">
        <v>100</v>
      </c>
      <c r="G1664">
        <v>100</v>
      </c>
      <c r="H1664">
        <v>128.1</v>
      </c>
      <c r="I1664">
        <v>131.5</v>
      </c>
      <c r="J1664">
        <v>100</v>
      </c>
      <c r="K1664">
        <v>100</v>
      </c>
      <c r="L1664" s="1" t="s">
        <v>4041</v>
      </c>
      <c r="M1664" t="s">
        <v>4043</v>
      </c>
      <c r="N1664">
        <v>2</v>
      </c>
    </row>
    <row r="1665" spans="1:14" x14ac:dyDescent="0.25">
      <c r="A1665" s="3" t="str">
        <f>HYPERLINK("http://www.ncbi.nlm.nih.gov/gene/8833","8833")</f>
        <v>8833</v>
      </c>
      <c r="B1665" s="1" t="s">
        <v>4044</v>
      </c>
      <c r="C1665" t="s">
        <v>4045</v>
      </c>
      <c r="D1665">
        <v>138.80000000000001</v>
      </c>
      <c r="E1665">
        <v>143.9</v>
      </c>
      <c r="F1665">
        <v>99.1</v>
      </c>
      <c r="G1665">
        <v>96.1</v>
      </c>
      <c r="H1665">
        <v>123</v>
      </c>
      <c r="I1665">
        <v>126.7</v>
      </c>
      <c r="J1665">
        <v>100</v>
      </c>
      <c r="K1665">
        <v>100</v>
      </c>
      <c r="L1665" s="1" t="s">
        <v>4044</v>
      </c>
      <c r="M1665" t="s">
        <v>93</v>
      </c>
      <c r="N1665">
        <v>2</v>
      </c>
    </row>
    <row r="1666" spans="1:14" x14ac:dyDescent="0.25">
      <c r="A1666" s="3" t="str">
        <f>HYPERLINK("http://www.ncbi.nlm.nih.gov/gene/2767","2767")</f>
        <v>2767</v>
      </c>
      <c r="B1666" s="1" t="s">
        <v>4046</v>
      </c>
      <c r="C1666" t="s">
        <v>4047</v>
      </c>
      <c r="D1666">
        <v>161.30000000000001</v>
      </c>
      <c r="E1666">
        <v>172.7</v>
      </c>
      <c r="F1666">
        <v>99.9</v>
      </c>
      <c r="G1666">
        <v>95</v>
      </c>
      <c r="H1666">
        <v>139.9</v>
      </c>
      <c r="I1666">
        <v>144.6</v>
      </c>
      <c r="J1666">
        <v>100</v>
      </c>
      <c r="K1666">
        <v>100</v>
      </c>
      <c r="L1666" s="1" t="s">
        <v>4046</v>
      </c>
      <c r="M1666" t="s">
        <v>4048</v>
      </c>
      <c r="N1666">
        <v>3</v>
      </c>
    </row>
    <row r="1667" spans="1:14" x14ac:dyDescent="0.25">
      <c r="A1667" s="3" t="str">
        <f>HYPERLINK("http://www.ncbi.nlm.nih.gov/gene/9630","9630")</f>
        <v>9630</v>
      </c>
      <c r="B1667" s="1" t="s">
        <v>4049</v>
      </c>
      <c r="D1667">
        <v>152.6</v>
      </c>
      <c r="E1667">
        <v>155.9</v>
      </c>
      <c r="F1667">
        <v>100</v>
      </c>
      <c r="G1667">
        <v>100</v>
      </c>
      <c r="H1667">
        <v>138.9</v>
      </c>
      <c r="I1667">
        <v>143.4</v>
      </c>
      <c r="J1667">
        <v>100</v>
      </c>
      <c r="K1667">
        <v>100</v>
      </c>
      <c r="L1667" s="1" t="s">
        <v>4049</v>
      </c>
      <c r="M1667" t="s">
        <v>29</v>
      </c>
      <c r="N1667">
        <v>2</v>
      </c>
    </row>
    <row r="1668" spans="1:14" x14ac:dyDescent="0.25">
      <c r="A1668" s="3" t="str">
        <f>HYPERLINK("http://www.ncbi.nlm.nih.gov/gene/2770","2770")</f>
        <v>2770</v>
      </c>
      <c r="B1668" s="1" t="s">
        <v>4050</v>
      </c>
      <c r="C1668" t="s">
        <v>4051</v>
      </c>
      <c r="D1668">
        <v>90.2</v>
      </c>
      <c r="E1668">
        <v>92.7</v>
      </c>
      <c r="F1668">
        <v>99</v>
      </c>
      <c r="G1668">
        <v>93.9</v>
      </c>
      <c r="H1668">
        <v>134.30000000000001</v>
      </c>
      <c r="I1668">
        <v>138.4</v>
      </c>
      <c r="J1668">
        <v>100</v>
      </c>
      <c r="K1668">
        <v>100</v>
      </c>
      <c r="L1668" s="1" t="s">
        <v>4050</v>
      </c>
      <c r="M1668" t="s">
        <v>189</v>
      </c>
      <c r="N1668">
        <v>2</v>
      </c>
    </row>
    <row r="1669" spans="1:14" x14ac:dyDescent="0.25">
      <c r="A1669" s="3" t="str">
        <f>HYPERLINK("http://www.ncbi.nlm.nih.gov/gene/2771","2771")</f>
        <v>2771</v>
      </c>
      <c r="B1669" s="1" t="s">
        <v>4052</v>
      </c>
      <c r="C1669" t="s">
        <v>4053</v>
      </c>
      <c r="D1669">
        <v>126.2</v>
      </c>
      <c r="E1669">
        <v>133.80000000000001</v>
      </c>
      <c r="F1669">
        <v>100</v>
      </c>
      <c r="G1669">
        <v>100</v>
      </c>
      <c r="H1669">
        <v>129.4</v>
      </c>
      <c r="I1669">
        <v>133.19999999999999</v>
      </c>
      <c r="J1669">
        <v>100</v>
      </c>
      <c r="K1669">
        <v>100</v>
      </c>
      <c r="L1669" s="1" t="s">
        <v>4052</v>
      </c>
      <c r="M1669" t="s">
        <v>285</v>
      </c>
      <c r="N1669">
        <v>1</v>
      </c>
    </row>
    <row r="1670" spans="1:14" x14ac:dyDescent="0.25">
      <c r="A1670" s="3" t="str">
        <f>HYPERLINK("http://www.ncbi.nlm.nih.gov/gene/2773","2773")</f>
        <v>2773</v>
      </c>
      <c r="B1670" s="1" t="s">
        <v>4054</v>
      </c>
      <c r="C1670" t="s">
        <v>4055</v>
      </c>
      <c r="D1670">
        <v>105.7</v>
      </c>
      <c r="E1670">
        <v>108.8</v>
      </c>
      <c r="F1670">
        <v>99.3</v>
      </c>
      <c r="G1670">
        <v>95.2</v>
      </c>
      <c r="H1670">
        <v>118.4</v>
      </c>
      <c r="I1670">
        <v>122.1</v>
      </c>
      <c r="J1670">
        <v>100</v>
      </c>
      <c r="K1670">
        <v>100</v>
      </c>
      <c r="L1670" s="1" t="s">
        <v>4054</v>
      </c>
      <c r="M1670" t="s">
        <v>4056</v>
      </c>
      <c r="N1670">
        <v>4</v>
      </c>
    </row>
    <row r="1671" spans="1:14" x14ac:dyDescent="0.25">
      <c r="A1671" s="3" t="str">
        <f>HYPERLINK("http://www.ncbi.nlm.nih.gov/gene/2774","2774")</f>
        <v>2774</v>
      </c>
      <c r="B1671" s="1" t="s">
        <v>4057</v>
      </c>
      <c r="C1671" t="s">
        <v>4058</v>
      </c>
      <c r="D1671">
        <v>131.19999999999999</v>
      </c>
      <c r="E1671">
        <v>135.5</v>
      </c>
      <c r="F1671">
        <v>96.8</v>
      </c>
      <c r="G1671">
        <v>93.4</v>
      </c>
      <c r="H1671">
        <v>121</v>
      </c>
      <c r="I1671">
        <v>123</v>
      </c>
      <c r="J1671">
        <v>100</v>
      </c>
      <c r="K1671">
        <v>100</v>
      </c>
      <c r="L1671" s="1" t="s">
        <v>4057</v>
      </c>
      <c r="M1671" t="s">
        <v>600</v>
      </c>
      <c r="N1671">
        <v>2</v>
      </c>
    </row>
    <row r="1672" spans="1:14" x14ac:dyDescent="0.25">
      <c r="A1672" s="3" t="str">
        <f>HYPERLINK("http://www.ncbi.nlm.nih.gov/gene/2775","2775")</f>
        <v>2775</v>
      </c>
      <c r="B1672" s="1" t="s">
        <v>4059</v>
      </c>
      <c r="C1672" t="s">
        <v>4060</v>
      </c>
      <c r="D1672">
        <v>166.9</v>
      </c>
      <c r="E1672">
        <v>173</v>
      </c>
      <c r="F1672">
        <v>93.8</v>
      </c>
      <c r="G1672">
        <v>93.8</v>
      </c>
      <c r="H1672">
        <v>148.4</v>
      </c>
      <c r="I1672">
        <v>152.9</v>
      </c>
      <c r="J1672">
        <v>100</v>
      </c>
      <c r="K1672">
        <v>100</v>
      </c>
      <c r="L1672" s="1" t="s">
        <v>4059</v>
      </c>
      <c r="M1672" t="s">
        <v>995</v>
      </c>
      <c r="N1672">
        <v>3</v>
      </c>
    </row>
    <row r="1673" spans="1:14" x14ac:dyDescent="0.25">
      <c r="A1673" s="3" t="str">
        <f>HYPERLINK("http://www.ncbi.nlm.nih.gov/gene/2776","2776")</f>
        <v>2776</v>
      </c>
      <c r="B1673" s="1" t="s">
        <v>4061</v>
      </c>
      <c r="C1673" t="s">
        <v>4062</v>
      </c>
      <c r="D1673">
        <v>65.900000000000006</v>
      </c>
      <c r="E1673">
        <v>69.599999999999994</v>
      </c>
      <c r="F1673">
        <v>84.3</v>
      </c>
      <c r="G1673">
        <v>74.900000000000006</v>
      </c>
      <c r="H1673">
        <v>139.9</v>
      </c>
      <c r="I1673">
        <v>144.69999999999999</v>
      </c>
      <c r="J1673">
        <v>100</v>
      </c>
      <c r="K1673">
        <v>100</v>
      </c>
      <c r="L1673" s="1" t="s">
        <v>4061</v>
      </c>
      <c r="M1673" t="s">
        <v>4063</v>
      </c>
      <c r="N1673">
        <v>2</v>
      </c>
    </row>
    <row r="1674" spans="1:14" x14ac:dyDescent="0.25">
      <c r="A1674" s="3" t="str">
        <f>HYPERLINK("http://www.ncbi.nlm.nih.gov/gene/2778","2778")</f>
        <v>2778</v>
      </c>
      <c r="B1674" s="1" t="s">
        <v>4064</v>
      </c>
      <c r="C1674" t="s">
        <v>4065</v>
      </c>
      <c r="D1674">
        <v>180.4</v>
      </c>
      <c r="E1674">
        <v>169.3</v>
      </c>
      <c r="F1674">
        <v>86.9</v>
      </c>
      <c r="G1674">
        <v>85.1</v>
      </c>
      <c r="H1674">
        <v>124.5</v>
      </c>
      <c r="I1674">
        <v>121.9</v>
      </c>
      <c r="J1674">
        <v>82</v>
      </c>
      <c r="K1674">
        <v>81.7</v>
      </c>
      <c r="L1674" s="1" t="s">
        <v>4064</v>
      </c>
      <c r="M1674" t="s">
        <v>4066</v>
      </c>
      <c r="N1674">
        <v>4</v>
      </c>
    </row>
    <row r="1675" spans="1:14" x14ac:dyDescent="0.25">
      <c r="A1675" s="3" t="str">
        <f>HYPERLINK("http://www.ncbi.nlm.nih.gov/gene/149775","149775")</f>
        <v>149775</v>
      </c>
      <c r="B1675" s="1" t="s">
        <v>4067</v>
      </c>
      <c r="C1675" t="s">
        <v>4068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 s="1" t="s">
        <v>4067</v>
      </c>
      <c r="M1675" t="s">
        <v>285</v>
      </c>
      <c r="N1675">
        <v>1</v>
      </c>
    </row>
    <row r="1676" spans="1:14" x14ac:dyDescent="0.25">
      <c r="A1676" s="3" t="str">
        <f>HYPERLINK("http://www.ncbi.nlm.nih.gov/gene/2779","2779")</f>
        <v>2779</v>
      </c>
      <c r="B1676" s="1" t="s">
        <v>4069</v>
      </c>
      <c r="C1676" t="s">
        <v>4070</v>
      </c>
      <c r="D1676">
        <v>155.9</v>
      </c>
      <c r="E1676">
        <v>161.6</v>
      </c>
      <c r="F1676">
        <v>100</v>
      </c>
      <c r="G1676">
        <v>100</v>
      </c>
      <c r="H1676">
        <v>133.4</v>
      </c>
      <c r="I1676">
        <v>136.4</v>
      </c>
      <c r="J1676">
        <v>100</v>
      </c>
      <c r="K1676">
        <v>100</v>
      </c>
      <c r="L1676" s="1" t="s">
        <v>4069</v>
      </c>
      <c r="M1676" t="s">
        <v>4071</v>
      </c>
      <c r="N1676">
        <v>2</v>
      </c>
    </row>
    <row r="1677" spans="1:14" x14ac:dyDescent="0.25">
      <c r="A1677" s="3" t="str">
        <f>HYPERLINK("http://www.ncbi.nlm.nih.gov/gene/2780","2780")</f>
        <v>2780</v>
      </c>
      <c r="B1677" s="1" t="s">
        <v>4072</v>
      </c>
      <c r="C1677" t="s">
        <v>4073</v>
      </c>
      <c r="D1677">
        <v>116</v>
      </c>
      <c r="E1677">
        <v>119.6</v>
      </c>
      <c r="F1677">
        <v>99.9</v>
      </c>
      <c r="G1677">
        <v>99</v>
      </c>
      <c r="H1677">
        <v>121.8</v>
      </c>
      <c r="I1677">
        <v>125.4</v>
      </c>
      <c r="J1677">
        <v>100</v>
      </c>
      <c r="K1677">
        <v>100</v>
      </c>
      <c r="L1677" s="1" t="s">
        <v>4072</v>
      </c>
      <c r="M1677" t="s">
        <v>2014</v>
      </c>
      <c r="N1677">
        <v>3</v>
      </c>
    </row>
    <row r="1678" spans="1:14" x14ac:dyDescent="0.25">
      <c r="A1678" s="3" t="str">
        <f>HYPERLINK("http://www.ncbi.nlm.nih.gov/gene/2782","2782")</f>
        <v>2782</v>
      </c>
      <c r="B1678" s="1" t="s">
        <v>4074</v>
      </c>
      <c r="C1678" t="s">
        <v>4075</v>
      </c>
      <c r="D1678">
        <v>175.8</v>
      </c>
      <c r="E1678">
        <v>183.7</v>
      </c>
      <c r="F1678">
        <v>100</v>
      </c>
      <c r="G1678">
        <v>100</v>
      </c>
      <c r="H1678">
        <v>128.19999999999999</v>
      </c>
      <c r="I1678">
        <v>132.19999999999999</v>
      </c>
      <c r="J1678">
        <v>100</v>
      </c>
      <c r="K1678">
        <v>100</v>
      </c>
      <c r="L1678" s="1" t="s">
        <v>4074</v>
      </c>
      <c r="M1678" t="s">
        <v>2393</v>
      </c>
      <c r="N1678">
        <v>3</v>
      </c>
    </row>
    <row r="1679" spans="1:14" x14ac:dyDescent="0.25">
      <c r="A1679" s="3" t="str">
        <f>HYPERLINK("http://www.ncbi.nlm.nih.gov/gene/2783","2783")</f>
        <v>2783</v>
      </c>
      <c r="B1679" s="1" t="s">
        <v>4076</v>
      </c>
      <c r="D1679">
        <v>195.7</v>
      </c>
      <c r="E1679">
        <v>201.1</v>
      </c>
      <c r="F1679">
        <v>100</v>
      </c>
      <c r="G1679">
        <v>100</v>
      </c>
      <c r="H1679">
        <v>148.30000000000001</v>
      </c>
      <c r="I1679">
        <v>150.4</v>
      </c>
      <c r="J1679">
        <v>100</v>
      </c>
      <c r="K1679">
        <v>100</v>
      </c>
      <c r="L1679" s="1" t="s">
        <v>4076</v>
      </c>
      <c r="M1679" t="s">
        <v>197</v>
      </c>
      <c r="N1679">
        <v>2</v>
      </c>
    </row>
    <row r="1680" spans="1:14" x14ac:dyDescent="0.25">
      <c r="A1680" s="3" t="str">
        <f>HYPERLINK("http://www.ncbi.nlm.nih.gov/gene/2784","2784")</f>
        <v>2784</v>
      </c>
      <c r="B1680" s="1" t="s">
        <v>4077</v>
      </c>
      <c r="C1680" t="s">
        <v>4078</v>
      </c>
      <c r="D1680">
        <v>150.19999999999999</v>
      </c>
      <c r="E1680">
        <v>153.9</v>
      </c>
      <c r="F1680">
        <v>100</v>
      </c>
      <c r="G1680">
        <v>100</v>
      </c>
      <c r="H1680">
        <v>148.30000000000001</v>
      </c>
      <c r="I1680">
        <v>151.9</v>
      </c>
      <c r="J1680">
        <v>100</v>
      </c>
      <c r="K1680">
        <v>100</v>
      </c>
      <c r="L1680" s="1" t="s">
        <v>4077</v>
      </c>
      <c r="M1680" t="s">
        <v>56</v>
      </c>
      <c r="N1680">
        <v>3</v>
      </c>
    </row>
    <row r="1681" spans="1:14" x14ac:dyDescent="0.25">
      <c r="A1681" s="3" t="str">
        <f>HYPERLINK("http://www.ncbi.nlm.nih.gov/gene/59345","59345")</f>
        <v>59345</v>
      </c>
      <c r="B1681" s="1" t="s">
        <v>4079</v>
      </c>
      <c r="C1681" t="s">
        <v>4080</v>
      </c>
      <c r="D1681">
        <v>187.7</v>
      </c>
      <c r="E1681">
        <v>194.6</v>
      </c>
      <c r="F1681">
        <v>100</v>
      </c>
      <c r="G1681">
        <v>100</v>
      </c>
      <c r="H1681">
        <v>145.69999999999999</v>
      </c>
      <c r="I1681">
        <v>149.1</v>
      </c>
      <c r="J1681">
        <v>100</v>
      </c>
      <c r="K1681">
        <v>100</v>
      </c>
      <c r="L1681" s="1" t="s">
        <v>4079</v>
      </c>
      <c r="M1681" t="s">
        <v>718</v>
      </c>
      <c r="N1681">
        <v>2</v>
      </c>
    </row>
    <row r="1682" spans="1:14" x14ac:dyDescent="0.25">
      <c r="A1682" s="3" t="str">
        <f>HYPERLINK("http://www.ncbi.nlm.nih.gov/gene/10681","10681")</f>
        <v>10681</v>
      </c>
      <c r="B1682" s="1" t="s">
        <v>4081</v>
      </c>
      <c r="C1682" t="s">
        <v>4082</v>
      </c>
      <c r="D1682">
        <v>125.9</v>
      </c>
      <c r="E1682">
        <v>132.5</v>
      </c>
      <c r="F1682">
        <v>100</v>
      </c>
      <c r="G1682">
        <v>98.8</v>
      </c>
      <c r="H1682">
        <v>138.6</v>
      </c>
      <c r="I1682">
        <v>142.5</v>
      </c>
      <c r="J1682">
        <v>100</v>
      </c>
      <c r="K1682">
        <v>100</v>
      </c>
      <c r="L1682" s="1" t="s">
        <v>4081</v>
      </c>
      <c r="M1682" t="s">
        <v>228</v>
      </c>
      <c r="N1682">
        <v>3</v>
      </c>
    </row>
    <row r="1683" spans="1:14" x14ac:dyDescent="0.25">
      <c r="A1683" s="3" t="str">
        <f>HYPERLINK("http://www.ncbi.nlm.nih.gov/gene/10020","10020")</f>
        <v>10020</v>
      </c>
      <c r="B1683" s="1" t="s">
        <v>4083</v>
      </c>
      <c r="C1683" t="s">
        <v>4084</v>
      </c>
      <c r="D1683">
        <v>132.19999999999999</v>
      </c>
      <c r="E1683">
        <v>132.69999999999999</v>
      </c>
      <c r="F1683">
        <v>100</v>
      </c>
      <c r="G1683">
        <v>99.7</v>
      </c>
      <c r="H1683">
        <v>153.80000000000001</v>
      </c>
      <c r="I1683">
        <v>158.30000000000001</v>
      </c>
      <c r="J1683">
        <v>100</v>
      </c>
      <c r="K1683">
        <v>100</v>
      </c>
      <c r="L1683" s="1" t="s">
        <v>4083</v>
      </c>
      <c r="M1683" t="s">
        <v>4085</v>
      </c>
      <c r="N1683">
        <v>6</v>
      </c>
    </row>
    <row r="1684" spans="1:14" x14ac:dyDescent="0.25">
      <c r="A1684" s="3" t="str">
        <f>HYPERLINK("http://www.ncbi.nlm.nih.gov/gene/27232","27232")</f>
        <v>27232</v>
      </c>
      <c r="B1684" s="1" t="s">
        <v>4086</v>
      </c>
      <c r="C1684" t="s">
        <v>4087</v>
      </c>
      <c r="D1684">
        <v>129.5</v>
      </c>
      <c r="E1684">
        <v>134.69999999999999</v>
      </c>
      <c r="F1684">
        <v>100</v>
      </c>
      <c r="G1684">
        <v>100</v>
      </c>
      <c r="H1684">
        <v>135</v>
      </c>
      <c r="I1684">
        <v>138.6</v>
      </c>
      <c r="J1684">
        <v>100</v>
      </c>
      <c r="K1684">
        <v>100</v>
      </c>
      <c r="L1684" s="1" t="s">
        <v>4086</v>
      </c>
      <c r="M1684" t="s">
        <v>116</v>
      </c>
      <c r="N1684">
        <v>3</v>
      </c>
    </row>
    <row r="1685" spans="1:14" x14ac:dyDescent="0.25">
      <c r="A1685" s="3" t="str">
        <f>HYPERLINK("http://www.ncbi.nlm.nih.gov/gene/8443","8443")</f>
        <v>8443</v>
      </c>
      <c r="B1685" s="1" t="s">
        <v>4088</v>
      </c>
      <c r="C1685" t="s">
        <v>4089</v>
      </c>
      <c r="D1685">
        <v>150</v>
      </c>
      <c r="E1685">
        <v>154</v>
      </c>
      <c r="F1685">
        <v>99.7</v>
      </c>
      <c r="G1685">
        <v>97.3</v>
      </c>
      <c r="H1685">
        <v>122.4</v>
      </c>
      <c r="I1685">
        <v>126.4</v>
      </c>
      <c r="J1685">
        <v>100</v>
      </c>
      <c r="K1685">
        <v>100</v>
      </c>
      <c r="L1685" s="1" t="s">
        <v>4088</v>
      </c>
      <c r="M1685" t="s">
        <v>468</v>
      </c>
      <c r="N1685">
        <v>5</v>
      </c>
    </row>
    <row r="1686" spans="1:14" x14ac:dyDescent="0.25">
      <c r="A1686" s="3" t="str">
        <f>HYPERLINK("http://www.ncbi.nlm.nih.gov/gene/64841","64841")</f>
        <v>64841</v>
      </c>
      <c r="B1686" s="1" t="s">
        <v>4090</v>
      </c>
      <c r="C1686" t="s">
        <v>4091</v>
      </c>
      <c r="D1686">
        <v>30</v>
      </c>
      <c r="E1686">
        <v>30.4</v>
      </c>
      <c r="F1686">
        <v>68.8</v>
      </c>
      <c r="G1686">
        <v>48.4</v>
      </c>
      <c r="H1686">
        <v>122.5</v>
      </c>
      <c r="I1686">
        <v>125.4</v>
      </c>
      <c r="J1686">
        <v>100</v>
      </c>
      <c r="K1686">
        <v>100</v>
      </c>
      <c r="L1686" s="1" t="s">
        <v>4090</v>
      </c>
      <c r="M1686" t="s">
        <v>1487</v>
      </c>
      <c r="N1686">
        <v>2</v>
      </c>
    </row>
    <row r="1687" spans="1:14" x14ac:dyDescent="0.25">
      <c r="A1687" s="3" t="str">
        <f>HYPERLINK("http://www.ncbi.nlm.nih.gov/gene/79158","79158")</f>
        <v>79158</v>
      </c>
      <c r="B1687" s="1" t="s">
        <v>4092</v>
      </c>
      <c r="C1687" t="s">
        <v>4093</v>
      </c>
      <c r="D1687">
        <v>167.5</v>
      </c>
      <c r="E1687">
        <v>167.2</v>
      </c>
      <c r="F1687">
        <v>100</v>
      </c>
      <c r="G1687">
        <v>99.9</v>
      </c>
      <c r="H1687">
        <v>144.30000000000001</v>
      </c>
      <c r="I1687">
        <v>147.4</v>
      </c>
      <c r="J1687">
        <v>100</v>
      </c>
      <c r="K1687">
        <v>100</v>
      </c>
      <c r="L1687" s="1" t="s">
        <v>4092</v>
      </c>
      <c r="M1687" t="s">
        <v>4094</v>
      </c>
      <c r="N1687">
        <v>7</v>
      </c>
    </row>
    <row r="1688" spans="1:14" x14ac:dyDescent="0.25">
      <c r="A1688" s="3" t="str">
        <f>HYPERLINK("http://www.ncbi.nlm.nih.gov/gene/84572","84572")</f>
        <v>84572</v>
      </c>
      <c r="B1688" s="1" t="s">
        <v>4095</v>
      </c>
      <c r="C1688" t="s">
        <v>4096</v>
      </c>
      <c r="D1688">
        <v>154</v>
      </c>
      <c r="E1688">
        <v>156</v>
      </c>
      <c r="F1688">
        <v>99.1</v>
      </c>
      <c r="G1688">
        <v>94.3</v>
      </c>
      <c r="H1688">
        <v>116.5</v>
      </c>
      <c r="I1688">
        <v>117.4</v>
      </c>
      <c r="J1688">
        <v>100</v>
      </c>
      <c r="K1688">
        <v>99.9</v>
      </c>
      <c r="L1688" s="1" t="s">
        <v>4095</v>
      </c>
      <c r="M1688" t="s">
        <v>4097</v>
      </c>
      <c r="N1688">
        <v>6</v>
      </c>
    </row>
    <row r="1689" spans="1:14" x14ac:dyDescent="0.25">
      <c r="A1689" s="3" t="str">
        <f>HYPERLINK("http://www.ncbi.nlm.nih.gov/gene/2796","2796")</f>
        <v>2796</v>
      </c>
      <c r="B1689" s="1" t="s">
        <v>4098</v>
      </c>
      <c r="C1689" t="s">
        <v>4099</v>
      </c>
      <c r="D1689">
        <v>100.2</v>
      </c>
      <c r="E1689">
        <v>100.9</v>
      </c>
      <c r="F1689">
        <v>100</v>
      </c>
      <c r="G1689">
        <v>93.7</v>
      </c>
      <c r="H1689">
        <v>142.6</v>
      </c>
      <c r="I1689">
        <v>147.30000000000001</v>
      </c>
      <c r="J1689">
        <v>100</v>
      </c>
      <c r="K1689">
        <v>100</v>
      </c>
      <c r="L1689" s="1" t="s">
        <v>4098</v>
      </c>
      <c r="M1689" t="s">
        <v>274</v>
      </c>
      <c r="N1689">
        <v>3</v>
      </c>
    </row>
    <row r="1690" spans="1:14" x14ac:dyDescent="0.25">
      <c r="A1690" s="3" t="str">
        <f>HYPERLINK("http://www.ncbi.nlm.nih.gov/gene/2798","2798")</f>
        <v>2798</v>
      </c>
      <c r="B1690" s="1" t="s">
        <v>4100</v>
      </c>
      <c r="C1690" t="s">
        <v>4101</v>
      </c>
      <c r="D1690">
        <v>151.6</v>
      </c>
      <c r="E1690">
        <v>156.30000000000001</v>
      </c>
      <c r="F1690">
        <v>100</v>
      </c>
      <c r="G1690">
        <v>100</v>
      </c>
      <c r="H1690">
        <v>146.9</v>
      </c>
      <c r="I1690">
        <v>148.80000000000001</v>
      </c>
      <c r="J1690">
        <v>100</v>
      </c>
      <c r="K1690">
        <v>100</v>
      </c>
      <c r="L1690" s="1" t="s">
        <v>4100</v>
      </c>
      <c r="M1690" t="s">
        <v>3509</v>
      </c>
      <c r="N1690">
        <v>4</v>
      </c>
    </row>
    <row r="1691" spans="1:14" x14ac:dyDescent="0.25">
      <c r="A1691" s="3" t="str">
        <f>HYPERLINK("http://www.ncbi.nlm.nih.gov/gene/2799","2799")</f>
        <v>2799</v>
      </c>
      <c r="B1691" s="1" t="s">
        <v>4102</v>
      </c>
      <c r="C1691" t="s">
        <v>4103</v>
      </c>
      <c r="D1691">
        <v>108.6</v>
      </c>
      <c r="E1691">
        <v>111.6</v>
      </c>
      <c r="F1691">
        <v>98.4</v>
      </c>
      <c r="G1691">
        <v>94.8</v>
      </c>
      <c r="H1691">
        <v>134.6</v>
      </c>
      <c r="I1691">
        <v>138</v>
      </c>
      <c r="J1691">
        <v>100</v>
      </c>
      <c r="K1691">
        <v>100</v>
      </c>
      <c r="L1691" s="1" t="s">
        <v>4102</v>
      </c>
      <c r="M1691" t="s">
        <v>468</v>
      </c>
      <c r="N1691">
        <v>5</v>
      </c>
    </row>
    <row r="1692" spans="1:14" x14ac:dyDescent="0.25">
      <c r="A1692" s="3" t="str">
        <f>HYPERLINK("http://www.ncbi.nlm.nih.gov/gene/92344","92344")</f>
        <v>92344</v>
      </c>
      <c r="B1692" s="1" t="s">
        <v>4104</v>
      </c>
      <c r="C1692" t="s">
        <v>4105</v>
      </c>
      <c r="D1692">
        <v>182.3</v>
      </c>
      <c r="E1692">
        <v>188.3</v>
      </c>
      <c r="F1692">
        <v>100</v>
      </c>
      <c r="G1692">
        <v>99.1</v>
      </c>
      <c r="H1692">
        <v>119.4</v>
      </c>
      <c r="I1692">
        <v>123.6</v>
      </c>
      <c r="J1692">
        <v>100</v>
      </c>
      <c r="K1692">
        <v>100</v>
      </c>
      <c r="L1692" s="1" t="s">
        <v>4104</v>
      </c>
      <c r="M1692" t="s">
        <v>239</v>
      </c>
      <c r="N1692">
        <v>4</v>
      </c>
    </row>
    <row r="1693" spans="1:14" x14ac:dyDescent="0.25">
      <c r="A1693" s="3" t="str">
        <f>HYPERLINK("http://www.ncbi.nlm.nih.gov/gene/9570","9570")</f>
        <v>9570</v>
      </c>
      <c r="B1693" s="1" t="s">
        <v>4106</v>
      </c>
      <c r="C1693" t="s">
        <v>4107</v>
      </c>
      <c r="D1693">
        <v>139.5</v>
      </c>
      <c r="E1693">
        <v>149.4</v>
      </c>
      <c r="F1693">
        <v>95.9</v>
      </c>
      <c r="G1693">
        <v>94.6</v>
      </c>
      <c r="H1693">
        <v>135.9</v>
      </c>
      <c r="I1693">
        <v>141.5</v>
      </c>
      <c r="J1693">
        <v>100</v>
      </c>
      <c r="K1693">
        <v>100</v>
      </c>
      <c r="L1693" s="1" t="s">
        <v>4106</v>
      </c>
      <c r="M1693" t="s">
        <v>3086</v>
      </c>
      <c r="N1693">
        <v>4</v>
      </c>
    </row>
    <row r="1694" spans="1:14" x14ac:dyDescent="0.25">
      <c r="A1694" s="3" t="str">
        <f>HYPERLINK("http://www.ncbi.nlm.nih.gov/gene/2805","2805")</f>
        <v>2805</v>
      </c>
      <c r="B1694" s="1" t="s">
        <v>4108</v>
      </c>
      <c r="C1694" t="s">
        <v>4109</v>
      </c>
      <c r="D1694">
        <v>122</v>
      </c>
      <c r="E1694">
        <v>126.4</v>
      </c>
      <c r="F1694">
        <v>100</v>
      </c>
      <c r="G1694">
        <v>99.3</v>
      </c>
      <c r="H1694">
        <v>141.30000000000001</v>
      </c>
      <c r="I1694">
        <v>144.9</v>
      </c>
      <c r="J1694">
        <v>100</v>
      </c>
      <c r="K1694">
        <v>100</v>
      </c>
      <c r="L1694" s="1" t="s">
        <v>4108</v>
      </c>
      <c r="M1694" t="s">
        <v>1275</v>
      </c>
      <c r="N1694">
        <v>2</v>
      </c>
    </row>
    <row r="1695" spans="1:14" x14ac:dyDescent="0.25">
      <c r="A1695" s="3" t="str">
        <f>HYPERLINK("http://www.ncbi.nlm.nih.gov/gene/2806","2806")</f>
        <v>2806</v>
      </c>
      <c r="B1695" s="1" t="s">
        <v>4110</v>
      </c>
      <c r="C1695" t="s">
        <v>4111</v>
      </c>
      <c r="D1695">
        <v>94.3</v>
      </c>
      <c r="E1695">
        <v>95.7</v>
      </c>
      <c r="F1695">
        <v>97.5</v>
      </c>
      <c r="G1695">
        <v>90.9</v>
      </c>
      <c r="H1695">
        <v>142.4</v>
      </c>
      <c r="I1695">
        <v>145.80000000000001</v>
      </c>
      <c r="J1695">
        <v>100</v>
      </c>
      <c r="K1695">
        <v>100</v>
      </c>
      <c r="L1695" s="1" t="s">
        <v>4110</v>
      </c>
      <c r="M1695" t="s">
        <v>4112</v>
      </c>
      <c r="N1695">
        <v>4</v>
      </c>
    </row>
    <row r="1696" spans="1:14" x14ac:dyDescent="0.25">
      <c r="A1696" s="3" t="str">
        <f>HYPERLINK("http://www.ncbi.nlm.nih.gov/gene/2811","2811")</f>
        <v>2811</v>
      </c>
      <c r="B1696" s="1" t="s">
        <v>4113</v>
      </c>
      <c r="C1696" t="s">
        <v>4114</v>
      </c>
      <c r="D1696">
        <v>173.1</v>
      </c>
      <c r="E1696">
        <v>169.1</v>
      </c>
      <c r="F1696">
        <v>98.6</v>
      </c>
      <c r="G1696">
        <v>95.9</v>
      </c>
      <c r="H1696">
        <v>168.4</v>
      </c>
      <c r="I1696">
        <v>163.6</v>
      </c>
      <c r="J1696">
        <v>100</v>
      </c>
      <c r="K1696">
        <v>100</v>
      </c>
      <c r="L1696" s="1" t="s">
        <v>4113</v>
      </c>
      <c r="M1696" t="s">
        <v>4115</v>
      </c>
      <c r="N1696">
        <v>4</v>
      </c>
    </row>
    <row r="1697" spans="1:14" x14ac:dyDescent="0.25">
      <c r="A1697" s="3" t="str">
        <f>HYPERLINK("http://www.ncbi.nlm.nih.gov/gene/2812","2812")</f>
        <v>2812</v>
      </c>
      <c r="B1697" s="1" t="s">
        <v>4116</v>
      </c>
      <c r="C1697" t="s">
        <v>4117</v>
      </c>
      <c r="D1697">
        <v>34.4</v>
      </c>
      <c r="E1697">
        <v>32</v>
      </c>
      <c r="F1697">
        <v>72.900000000000006</v>
      </c>
      <c r="G1697">
        <v>59.6</v>
      </c>
      <c r="H1697">
        <v>57.9</v>
      </c>
      <c r="I1697">
        <v>57.4</v>
      </c>
      <c r="J1697">
        <v>99.5</v>
      </c>
      <c r="K1697">
        <v>95</v>
      </c>
      <c r="L1697" s="1" t="s">
        <v>4116</v>
      </c>
      <c r="M1697" t="s">
        <v>4118</v>
      </c>
      <c r="N1697">
        <v>4</v>
      </c>
    </row>
    <row r="1698" spans="1:14" x14ac:dyDescent="0.25">
      <c r="A1698" s="3" t="str">
        <f>HYPERLINK("http://www.ncbi.nlm.nih.gov/gene/51206","51206")</f>
        <v>51206</v>
      </c>
      <c r="B1698" s="1" t="s">
        <v>4119</v>
      </c>
      <c r="C1698" t="s">
        <v>4120</v>
      </c>
      <c r="D1698">
        <v>139.1</v>
      </c>
      <c r="E1698">
        <v>149.1</v>
      </c>
      <c r="F1698">
        <v>100</v>
      </c>
      <c r="G1698">
        <v>100</v>
      </c>
      <c r="H1698">
        <v>183.2</v>
      </c>
      <c r="I1698">
        <v>191.8</v>
      </c>
      <c r="J1698">
        <v>94.9</v>
      </c>
      <c r="K1698">
        <v>91.7</v>
      </c>
      <c r="L1698" s="1" t="s">
        <v>4119</v>
      </c>
      <c r="M1698" t="s">
        <v>606</v>
      </c>
      <c r="N1698">
        <v>3</v>
      </c>
    </row>
    <row r="1699" spans="1:14" x14ac:dyDescent="0.25">
      <c r="A1699" s="3" t="str">
        <f>HYPERLINK("http://www.ncbi.nlm.nih.gov/gene/2815","2815")</f>
        <v>2815</v>
      </c>
      <c r="B1699" s="1" t="s">
        <v>4121</v>
      </c>
      <c r="C1699" t="s">
        <v>4122</v>
      </c>
      <c r="D1699">
        <v>159.4</v>
      </c>
      <c r="E1699">
        <v>122</v>
      </c>
      <c r="F1699">
        <v>96.5</v>
      </c>
      <c r="G1699">
        <v>89.3</v>
      </c>
      <c r="H1699">
        <v>139.4</v>
      </c>
      <c r="I1699">
        <v>138.4</v>
      </c>
      <c r="J1699">
        <v>100</v>
      </c>
      <c r="K1699">
        <v>100</v>
      </c>
      <c r="L1699" s="1" t="s">
        <v>4121</v>
      </c>
      <c r="M1699" t="s">
        <v>606</v>
      </c>
      <c r="N1699">
        <v>3</v>
      </c>
    </row>
    <row r="1700" spans="1:14" x14ac:dyDescent="0.25">
      <c r="A1700" s="3" t="str">
        <f>HYPERLINK("http://www.ncbi.nlm.nih.gov/gene/8733","8733")</f>
        <v>8733</v>
      </c>
      <c r="B1700" s="1" t="s">
        <v>4123</v>
      </c>
      <c r="C1700" t="s">
        <v>4124</v>
      </c>
      <c r="D1700">
        <v>119.3</v>
      </c>
      <c r="E1700">
        <v>111.5</v>
      </c>
      <c r="F1700">
        <v>98.9</v>
      </c>
      <c r="G1700">
        <v>95.9</v>
      </c>
      <c r="H1700">
        <v>142.19999999999999</v>
      </c>
      <c r="I1700">
        <v>145.9</v>
      </c>
      <c r="J1700">
        <v>100</v>
      </c>
      <c r="K1700">
        <v>100</v>
      </c>
      <c r="L1700" s="1" t="s">
        <v>4123</v>
      </c>
      <c r="M1700" t="s">
        <v>228</v>
      </c>
      <c r="N1700">
        <v>3</v>
      </c>
    </row>
    <row r="1701" spans="1:14" x14ac:dyDescent="0.25">
      <c r="A1701" s="3" t="str">
        <f>HYPERLINK("http://www.ncbi.nlm.nih.gov/gene/2719","2719")</f>
        <v>2719</v>
      </c>
      <c r="B1701" s="1" t="s">
        <v>4125</v>
      </c>
      <c r="C1701" t="s">
        <v>4126</v>
      </c>
      <c r="D1701">
        <v>93.1</v>
      </c>
      <c r="E1701">
        <v>90.4</v>
      </c>
      <c r="F1701">
        <v>99.1</v>
      </c>
      <c r="G1701">
        <v>94.7</v>
      </c>
      <c r="H1701">
        <v>139.4</v>
      </c>
      <c r="I1701">
        <v>142.30000000000001</v>
      </c>
      <c r="J1701">
        <v>100</v>
      </c>
      <c r="K1701">
        <v>100</v>
      </c>
      <c r="L1701" s="1" t="s">
        <v>4125</v>
      </c>
      <c r="M1701" t="s">
        <v>4127</v>
      </c>
      <c r="N1701">
        <v>6</v>
      </c>
    </row>
    <row r="1702" spans="1:14" x14ac:dyDescent="0.25">
      <c r="A1702" s="3" t="str">
        <f>HYPERLINK("http://www.ncbi.nlm.nih.gov/gene/2239","2239")</f>
        <v>2239</v>
      </c>
      <c r="B1702" s="1" t="s">
        <v>4128</v>
      </c>
      <c r="C1702" t="s">
        <v>4129</v>
      </c>
      <c r="D1702">
        <v>116.6</v>
      </c>
      <c r="E1702">
        <v>119.6</v>
      </c>
      <c r="F1702">
        <v>100</v>
      </c>
      <c r="G1702">
        <v>99.6</v>
      </c>
      <c r="H1702">
        <v>138.5</v>
      </c>
      <c r="I1702">
        <v>144.5</v>
      </c>
      <c r="J1702">
        <v>100</v>
      </c>
      <c r="K1702">
        <v>100</v>
      </c>
      <c r="L1702" s="1" t="s">
        <v>4128</v>
      </c>
      <c r="M1702" t="s">
        <v>1114</v>
      </c>
      <c r="N1702">
        <v>2</v>
      </c>
    </row>
    <row r="1703" spans="1:14" x14ac:dyDescent="0.25">
      <c r="A1703" s="3" t="str">
        <f>HYPERLINK("http://www.ncbi.nlm.nih.gov/gene/10082","10082")</f>
        <v>10082</v>
      </c>
      <c r="B1703" s="1" t="s">
        <v>4130</v>
      </c>
      <c r="C1703" t="s">
        <v>4131</v>
      </c>
      <c r="D1703">
        <v>144.69999999999999</v>
      </c>
      <c r="E1703">
        <v>150</v>
      </c>
      <c r="F1703">
        <v>100</v>
      </c>
      <c r="G1703">
        <v>100</v>
      </c>
      <c r="H1703">
        <v>151</v>
      </c>
      <c r="I1703">
        <v>156.9</v>
      </c>
      <c r="J1703">
        <v>100</v>
      </c>
      <c r="K1703">
        <v>100</v>
      </c>
      <c r="L1703" s="1" t="s">
        <v>4130</v>
      </c>
      <c r="M1703" t="s">
        <v>1168</v>
      </c>
      <c r="N1703">
        <v>3</v>
      </c>
    </row>
    <row r="1704" spans="1:14" x14ac:dyDescent="0.25">
      <c r="A1704" s="3" t="str">
        <f>HYPERLINK("http://www.ncbi.nlm.nih.gov/gene/2819","2819")</f>
        <v>2819</v>
      </c>
      <c r="B1704" s="1" t="s">
        <v>4132</v>
      </c>
      <c r="C1704" t="s">
        <v>4133</v>
      </c>
      <c r="D1704">
        <v>103.4</v>
      </c>
      <c r="E1704">
        <v>107.5</v>
      </c>
      <c r="F1704">
        <v>100</v>
      </c>
      <c r="G1704">
        <v>100</v>
      </c>
      <c r="H1704">
        <v>128.5</v>
      </c>
      <c r="I1704">
        <v>131.80000000000001</v>
      </c>
      <c r="J1704">
        <v>100</v>
      </c>
      <c r="K1704">
        <v>100</v>
      </c>
      <c r="L1704" s="1" t="s">
        <v>4132</v>
      </c>
      <c r="M1704" t="s">
        <v>116</v>
      </c>
      <c r="N1704">
        <v>3</v>
      </c>
    </row>
    <row r="1705" spans="1:14" x14ac:dyDescent="0.25">
      <c r="A1705" s="3" t="str">
        <f>HYPERLINK("http://www.ncbi.nlm.nih.gov/gene/23171","23171")</f>
        <v>23171</v>
      </c>
      <c r="B1705" s="1" t="s">
        <v>4134</v>
      </c>
      <c r="C1705" t="s">
        <v>4135</v>
      </c>
      <c r="D1705">
        <v>139.6</v>
      </c>
      <c r="E1705">
        <v>143</v>
      </c>
      <c r="F1705">
        <v>100</v>
      </c>
      <c r="G1705">
        <v>99.8</v>
      </c>
      <c r="H1705">
        <v>136</v>
      </c>
      <c r="I1705">
        <v>139.69999999999999</v>
      </c>
      <c r="J1705">
        <v>100</v>
      </c>
      <c r="K1705">
        <v>100</v>
      </c>
      <c r="L1705" s="1" t="s">
        <v>4134</v>
      </c>
      <c r="M1705" t="s">
        <v>4136</v>
      </c>
      <c r="N1705">
        <v>3</v>
      </c>
    </row>
    <row r="1706" spans="1:14" x14ac:dyDescent="0.25">
      <c r="A1706" s="3" t="str">
        <f>HYPERLINK("http://www.ncbi.nlm.nih.gov/gene/10243","10243")</f>
        <v>10243</v>
      </c>
      <c r="B1706" s="1" t="s">
        <v>4137</v>
      </c>
      <c r="C1706" t="s">
        <v>4138</v>
      </c>
      <c r="D1706">
        <v>172.8</v>
      </c>
      <c r="E1706">
        <v>175.6</v>
      </c>
      <c r="F1706">
        <v>100</v>
      </c>
      <c r="G1706">
        <v>99.5</v>
      </c>
      <c r="H1706">
        <v>142.6</v>
      </c>
      <c r="I1706">
        <v>146.19999999999999</v>
      </c>
      <c r="J1706">
        <v>100</v>
      </c>
      <c r="K1706">
        <v>100</v>
      </c>
      <c r="L1706" s="1" t="s">
        <v>4137</v>
      </c>
      <c r="M1706" t="s">
        <v>4139</v>
      </c>
      <c r="N1706">
        <v>5</v>
      </c>
    </row>
    <row r="1707" spans="1:14" x14ac:dyDescent="0.25">
      <c r="A1707" s="3" t="str">
        <f>HYPERLINK("http://www.ncbi.nlm.nih.gov/gene/2821","2821")</f>
        <v>2821</v>
      </c>
      <c r="B1707" s="1" t="s">
        <v>4140</v>
      </c>
      <c r="C1707" t="s">
        <v>4141</v>
      </c>
      <c r="D1707">
        <v>160.69999999999999</v>
      </c>
      <c r="E1707">
        <v>163.9</v>
      </c>
      <c r="F1707">
        <v>100</v>
      </c>
      <c r="G1707">
        <v>100</v>
      </c>
      <c r="H1707">
        <v>145.5</v>
      </c>
      <c r="I1707">
        <v>148.69999999999999</v>
      </c>
      <c r="J1707">
        <v>100</v>
      </c>
      <c r="K1707">
        <v>100</v>
      </c>
      <c r="L1707" s="1" t="s">
        <v>4140</v>
      </c>
      <c r="M1707" t="s">
        <v>116</v>
      </c>
      <c r="N1707">
        <v>3</v>
      </c>
    </row>
    <row r="1708" spans="1:14" x14ac:dyDescent="0.25">
      <c r="A1708" s="3" t="str">
        <f>HYPERLINK("http://www.ncbi.nlm.nih.gov/gene/338328","338328")</f>
        <v>338328</v>
      </c>
      <c r="B1708" s="1" t="s">
        <v>4142</v>
      </c>
      <c r="C1708" t="s">
        <v>4143</v>
      </c>
      <c r="D1708">
        <v>148.19999999999999</v>
      </c>
      <c r="E1708">
        <v>155</v>
      </c>
      <c r="F1708">
        <v>100</v>
      </c>
      <c r="G1708">
        <v>100</v>
      </c>
      <c r="H1708">
        <v>149.69999999999999</v>
      </c>
      <c r="I1708">
        <v>153.19999999999999</v>
      </c>
      <c r="J1708">
        <v>100</v>
      </c>
      <c r="K1708">
        <v>100</v>
      </c>
      <c r="L1708" s="1" t="s">
        <v>4142</v>
      </c>
      <c r="M1708" t="s">
        <v>116</v>
      </c>
      <c r="N1708">
        <v>3</v>
      </c>
    </row>
    <row r="1709" spans="1:14" x14ac:dyDescent="0.25">
      <c r="A1709" s="3" t="str">
        <f>HYPERLINK("http://www.ncbi.nlm.nih.gov/gene/10457","10457")</f>
        <v>10457</v>
      </c>
      <c r="B1709" s="1" t="s">
        <v>4144</v>
      </c>
      <c r="C1709" t="s">
        <v>4145</v>
      </c>
      <c r="D1709">
        <v>179.4</v>
      </c>
      <c r="E1709">
        <v>185.9</v>
      </c>
      <c r="F1709">
        <v>95.5</v>
      </c>
      <c r="G1709">
        <v>95.5</v>
      </c>
      <c r="H1709">
        <v>143.30000000000001</v>
      </c>
      <c r="I1709">
        <v>147.69999999999999</v>
      </c>
      <c r="J1709">
        <v>95.5</v>
      </c>
      <c r="K1709">
        <v>95.5</v>
      </c>
      <c r="L1709" s="1" t="s">
        <v>4144</v>
      </c>
      <c r="M1709" t="s">
        <v>4146</v>
      </c>
      <c r="N1709">
        <v>3</v>
      </c>
    </row>
    <row r="1710" spans="1:14" x14ac:dyDescent="0.25">
      <c r="A1710" s="3" t="str">
        <f>HYPERLINK("http://www.ncbi.nlm.nih.gov/gene/83550","83550")</f>
        <v>83550</v>
      </c>
      <c r="B1710" s="1" t="s">
        <v>4147</v>
      </c>
      <c r="C1710" t="s">
        <v>4148</v>
      </c>
      <c r="D1710">
        <v>117.9</v>
      </c>
      <c r="E1710">
        <v>112.8</v>
      </c>
      <c r="F1710">
        <v>100</v>
      </c>
      <c r="G1710">
        <v>100</v>
      </c>
      <c r="H1710">
        <v>171.5</v>
      </c>
      <c r="I1710">
        <v>170.6</v>
      </c>
      <c r="J1710">
        <v>100</v>
      </c>
      <c r="K1710">
        <v>100</v>
      </c>
      <c r="L1710" s="1" t="s">
        <v>4147</v>
      </c>
      <c r="M1710" t="s">
        <v>291</v>
      </c>
      <c r="N1710">
        <v>1</v>
      </c>
    </row>
    <row r="1711" spans="1:14" x14ac:dyDescent="0.25">
      <c r="A1711" s="3" t="str">
        <f>HYPERLINK("http://www.ncbi.nlm.nih.gov/gene/4935","4935")</f>
        <v>4935</v>
      </c>
      <c r="B1711" s="1" t="s">
        <v>4149</v>
      </c>
      <c r="C1711" t="s">
        <v>4150</v>
      </c>
      <c r="D1711">
        <v>63.7</v>
      </c>
      <c r="E1711">
        <v>65.2</v>
      </c>
      <c r="F1711">
        <v>85.8</v>
      </c>
      <c r="G1711">
        <v>76.400000000000006</v>
      </c>
      <c r="H1711">
        <v>112.9</v>
      </c>
      <c r="I1711">
        <v>115.3</v>
      </c>
      <c r="J1711">
        <v>99.8</v>
      </c>
      <c r="K1711">
        <v>97.9</v>
      </c>
      <c r="L1711" s="1" t="s">
        <v>4149</v>
      </c>
      <c r="M1711" t="s">
        <v>4151</v>
      </c>
      <c r="N1711">
        <v>4</v>
      </c>
    </row>
    <row r="1712" spans="1:14" x14ac:dyDescent="0.25">
      <c r="A1712" s="3" t="str">
        <f>HYPERLINK("http://www.ncbi.nlm.nih.gov/gene/23432","23432")</f>
        <v>23432</v>
      </c>
      <c r="B1712" s="1" t="s">
        <v>4152</v>
      </c>
      <c r="C1712" t="s">
        <v>4153</v>
      </c>
      <c r="D1712">
        <v>189.7</v>
      </c>
      <c r="E1712">
        <v>186.4</v>
      </c>
      <c r="F1712">
        <v>100</v>
      </c>
      <c r="G1712">
        <v>100</v>
      </c>
      <c r="H1712">
        <v>147.6</v>
      </c>
      <c r="I1712">
        <v>150.6</v>
      </c>
      <c r="J1712">
        <v>100</v>
      </c>
      <c r="K1712">
        <v>100</v>
      </c>
      <c r="L1712" s="1" t="s">
        <v>4152</v>
      </c>
      <c r="M1712" t="s">
        <v>4154</v>
      </c>
      <c r="N1712">
        <v>4</v>
      </c>
    </row>
    <row r="1713" spans="1:14" x14ac:dyDescent="0.25">
      <c r="A1713" s="3" t="str">
        <f>HYPERLINK("http://www.ncbi.nlm.nih.gov/gene/440435","440435")</f>
        <v>440435</v>
      </c>
      <c r="B1713" s="1" t="s">
        <v>4155</v>
      </c>
      <c r="C1713" t="s">
        <v>4156</v>
      </c>
      <c r="D1713">
        <v>164.2</v>
      </c>
      <c r="E1713">
        <v>158</v>
      </c>
      <c r="F1713">
        <v>100</v>
      </c>
      <c r="G1713">
        <v>100</v>
      </c>
      <c r="H1713">
        <v>228.7</v>
      </c>
      <c r="I1713">
        <v>229.4</v>
      </c>
      <c r="J1713">
        <v>100</v>
      </c>
      <c r="K1713">
        <v>100</v>
      </c>
      <c r="L1713" s="1" t="s">
        <v>4155</v>
      </c>
      <c r="M1713" t="s">
        <v>56</v>
      </c>
      <c r="N1713">
        <v>3</v>
      </c>
    </row>
    <row r="1714" spans="1:14" x14ac:dyDescent="0.25">
      <c r="A1714" s="3" t="str">
        <f>HYPERLINK("http://www.ncbi.nlm.nih.gov/gene/8111","8111")</f>
        <v>8111</v>
      </c>
      <c r="B1714" s="1" t="s">
        <v>4157</v>
      </c>
      <c r="C1714" t="s">
        <v>4158</v>
      </c>
      <c r="D1714">
        <v>138.30000000000001</v>
      </c>
      <c r="E1714">
        <v>138.4</v>
      </c>
      <c r="F1714">
        <v>99.5</v>
      </c>
      <c r="G1714">
        <v>96.7</v>
      </c>
      <c r="H1714">
        <v>161.6</v>
      </c>
      <c r="I1714">
        <v>162.69999999999999</v>
      </c>
      <c r="J1714">
        <v>100</v>
      </c>
      <c r="K1714">
        <v>100</v>
      </c>
      <c r="L1714" s="1" t="s">
        <v>4157</v>
      </c>
      <c r="M1714" t="s">
        <v>158</v>
      </c>
      <c r="N1714">
        <v>2</v>
      </c>
    </row>
    <row r="1715" spans="1:14" x14ac:dyDescent="0.25">
      <c r="A1715" s="3" t="str">
        <f>HYPERLINK("http://www.ncbi.nlm.nih.gov/gene/54112","54112")</f>
        <v>54112</v>
      </c>
      <c r="B1715" s="1" t="s">
        <v>4159</v>
      </c>
      <c r="C1715" t="s">
        <v>4160</v>
      </c>
      <c r="D1715">
        <v>80.7</v>
      </c>
      <c r="E1715">
        <v>78</v>
      </c>
      <c r="F1715">
        <v>99.4</v>
      </c>
      <c r="G1715">
        <v>95.1</v>
      </c>
      <c r="H1715">
        <v>99.4</v>
      </c>
      <c r="I1715">
        <v>100.5</v>
      </c>
      <c r="J1715">
        <v>98.8</v>
      </c>
      <c r="K1715">
        <v>94.9</v>
      </c>
      <c r="L1715" s="1" t="s">
        <v>4159</v>
      </c>
      <c r="M1715" t="s">
        <v>53</v>
      </c>
      <c r="N1715">
        <v>2</v>
      </c>
    </row>
    <row r="1716" spans="1:14" x14ac:dyDescent="0.25">
      <c r="A1716" s="3" t="str">
        <f>HYPERLINK("http://www.ncbi.nlm.nih.gov/gene/114928","114928")</f>
        <v>114928</v>
      </c>
      <c r="B1716" s="1" t="s">
        <v>4161</v>
      </c>
      <c r="C1716" t="s">
        <v>4162</v>
      </c>
      <c r="D1716">
        <v>96</v>
      </c>
      <c r="E1716">
        <v>80.400000000000006</v>
      </c>
      <c r="F1716">
        <v>100</v>
      </c>
      <c r="G1716">
        <v>99.7</v>
      </c>
      <c r="H1716">
        <v>138.9</v>
      </c>
      <c r="I1716">
        <v>139.69999999999999</v>
      </c>
      <c r="J1716">
        <v>100</v>
      </c>
      <c r="K1716">
        <v>100</v>
      </c>
      <c r="L1716" s="1" t="s">
        <v>4161</v>
      </c>
      <c r="M1716" t="s">
        <v>868</v>
      </c>
      <c r="N1716">
        <v>1</v>
      </c>
    </row>
    <row r="1717" spans="1:14" x14ac:dyDescent="0.25">
      <c r="A1717" s="3" t="str">
        <f>HYPERLINK("http://www.ncbi.nlm.nih.gov/gene/29899","29899")</f>
        <v>29899</v>
      </c>
      <c r="B1717" s="1" t="s">
        <v>4163</v>
      </c>
      <c r="C1717" t="s">
        <v>4164</v>
      </c>
      <c r="D1717">
        <v>141.19999999999999</v>
      </c>
      <c r="E1717">
        <v>146.80000000000001</v>
      </c>
      <c r="F1717">
        <v>99.9</v>
      </c>
      <c r="G1717">
        <v>99.2</v>
      </c>
      <c r="H1717">
        <v>122</v>
      </c>
      <c r="I1717">
        <v>125.3</v>
      </c>
      <c r="J1717">
        <v>100</v>
      </c>
      <c r="K1717">
        <v>100</v>
      </c>
      <c r="L1717" s="1" t="s">
        <v>4163</v>
      </c>
      <c r="M1717" t="s">
        <v>4165</v>
      </c>
      <c r="N1717">
        <v>4</v>
      </c>
    </row>
    <row r="1718" spans="1:14" x14ac:dyDescent="0.25">
      <c r="A1718" s="3" t="str">
        <f>HYPERLINK("http://www.ncbi.nlm.nih.gov/gene/84706","84706")</f>
        <v>84706</v>
      </c>
      <c r="B1718" s="1" t="s">
        <v>4166</v>
      </c>
      <c r="C1718" t="s">
        <v>4167</v>
      </c>
      <c r="D1718">
        <v>131.5</v>
      </c>
      <c r="E1718">
        <v>136.1</v>
      </c>
      <c r="F1718">
        <v>99.2</v>
      </c>
      <c r="G1718">
        <v>93.6</v>
      </c>
      <c r="H1718">
        <v>130.69999999999999</v>
      </c>
      <c r="I1718">
        <v>134.1</v>
      </c>
      <c r="J1718">
        <v>100</v>
      </c>
      <c r="K1718">
        <v>99.8</v>
      </c>
      <c r="L1718" s="1" t="s">
        <v>4166</v>
      </c>
      <c r="M1718" t="s">
        <v>1330</v>
      </c>
      <c r="N1718">
        <v>5</v>
      </c>
    </row>
    <row r="1719" spans="1:14" x14ac:dyDescent="0.25">
      <c r="A1719" s="3" t="str">
        <f>HYPERLINK("http://www.ncbi.nlm.nih.gov/gene/2876","2876")</f>
        <v>2876</v>
      </c>
      <c r="B1719" s="1" t="s">
        <v>4168</v>
      </c>
      <c r="C1719" t="s">
        <v>4169</v>
      </c>
      <c r="D1719">
        <v>55.1</v>
      </c>
      <c r="E1719">
        <v>50.2</v>
      </c>
      <c r="F1719">
        <v>95.9</v>
      </c>
      <c r="G1719">
        <v>86.4</v>
      </c>
      <c r="H1719">
        <v>139.6</v>
      </c>
      <c r="I1719">
        <v>140.5</v>
      </c>
      <c r="J1719">
        <v>100</v>
      </c>
      <c r="K1719">
        <v>100</v>
      </c>
      <c r="L1719" s="1" t="s">
        <v>4168</v>
      </c>
      <c r="M1719" t="s">
        <v>93</v>
      </c>
      <c r="N1719">
        <v>2</v>
      </c>
    </row>
    <row r="1720" spans="1:14" x14ac:dyDescent="0.25">
      <c r="A1720" s="3" t="str">
        <f>HYPERLINK("http://www.ncbi.nlm.nih.gov/gene/2879","2879")</f>
        <v>2879</v>
      </c>
      <c r="B1720" s="1" t="s">
        <v>4170</v>
      </c>
      <c r="C1720" t="s">
        <v>4171</v>
      </c>
      <c r="D1720">
        <v>156.4</v>
      </c>
      <c r="E1720">
        <v>154.5</v>
      </c>
      <c r="F1720">
        <v>90.5</v>
      </c>
      <c r="G1720">
        <v>85.8</v>
      </c>
      <c r="H1720">
        <v>123.7</v>
      </c>
      <c r="I1720">
        <v>127.9</v>
      </c>
      <c r="J1720">
        <v>98.2</v>
      </c>
      <c r="K1720">
        <v>94.9</v>
      </c>
      <c r="L1720" s="1" t="s">
        <v>4170</v>
      </c>
      <c r="M1720" t="s">
        <v>1168</v>
      </c>
      <c r="N1720">
        <v>3</v>
      </c>
    </row>
    <row r="1721" spans="1:14" x14ac:dyDescent="0.25">
      <c r="A1721" s="3" t="str">
        <f>HYPERLINK("http://www.ncbi.nlm.nih.gov/gene/10750","10750")</f>
        <v>10750</v>
      </c>
      <c r="B1721" s="1" t="s">
        <v>4172</v>
      </c>
      <c r="C1721" t="s">
        <v>4173</v>
      </c>
      <c r="D1721">
        <v>85.3</v>
      </c>
      <c r="E1721">
        <v>83.7</v>
      </c>
      <c r="F1721">
        <v>82.8</v>
      </c>
      <c r="G1721">
        <v>78.3</v>
      </c>
      <c r="H1721">
        <v>144.5</v>
      </c>
      <c r="I1721">
        <v>146.80000000000001</v>
      </c>
      <c r="J1721">
        <v>100</v>
      </c>
      <c r="K1721">
        <v>100</v>
      </c>
      <c r="L1721" s="1" t="s">
        <v>4172</v>
      </c>
      <c r="M1721" t="s">
        <v>269</v>
      </c>
      <c r="N1721">
        <v>3</v>
      </c>
    </row>
    <row r="1722" spans="1:14" x14ac:dyDescent="0.25">
      <c r="A1722" s="3" t="str">
        <f>HYPERLINK("http://www.ncbi.nlm.nih.gov/gene/80000","80000")</f>
        <v>80000</v>
      </c>
      <c r="B1722" s="1" t="s">
        <v>4174</v>
      </c>
      <c r="C1722" t="s">
        <v>4175</v>
      </c>
      <c r="D1722">
        <v>148.19999999999999</v>
      </c>
      <c r="E1722">
        <v>153.1</v>
      </c>
      <c r="F1722">
        <v>100</v>
      </c>
      <c r="G1722">
        <v>99.9</v>
      </c>
      <c r="H1722">
        <v>147</v>
      </c>
      <c r="I1722">
        <v>151.69999999999999</v>
      </c>
      <c r="J1722">
        <v>100</v>
      </c>
      <c r="K1722">
        <v>100</v>
      </c>
      <c r="L1722" s="1" t="s">
        <v>4174</v>
      </c>
      <c r="M1722" t="s">
        <v>594</v>
      </c>
      <c r="N1722">
        <v>3</v>
      </c>
    </row>
    <row r="1723" spans="1:14" x14ac:dyDescent="0.25">
      <c r="A1723" s="3" t="str">
        <f>HYPERLINK("http://www.ncbi.nlm.nih.gov/gene/26585","26585")</f>
        <v>26585</v>
      </c>
      <c r="B1723" s="1" t="s">
        <v>4176</v>
      </c>
      <c r="C1723" t="s">
        <v>4177</v>
      </c>
      <c r="D1723">
        <v>121.7</v>
      </c>
      <c r="E1723">
        <v>121.2</v>
      </c>
      <c r="F1723">
        <v>100</v>
      </c>
      <c r="G1723">
        <v>100</v>
      </c>
      <c r="H1723">
        <v>231.9</v>
      </c>
      <c r="I1723">
        <v>239.8</v>
      </c>
      <c r="J1723">
        <v>100</v>
      </c>
      <c r="K1723">
        <v>100</v>
      </c>
      <c r="L1723" s="1" t="s">
        <v>4176</v>
      </c>
      <c r="M1723" t="s">
        <v>4178</v>
      </c>
      <c r="N1723">
        <v>2</v>
      </c>
    </row>
    <row r="1724" spans="1:14" x14ac:dyDescent="0.25">
      <c r="A1724" s="3" t="str">
        <f>HYPERLINK("http://www.ncbi.nlm.nih.gov/gene/64388","64388")</f>
        <v>64388</v>
      </c>
      <c r="B1724" s="1" t="s">
        <v>4179</v>
      </c>
      <c r="C1724" t="s">
        <v>4180</v>
      </c>
      <c r="D1724">
        <v>145</v>
      </c>
      <c r="E1724">
        <v>145.4</v>
      </c>
      <c r="F1724">
        <v>100</v>
      </c>
      <c r="G1724">
        <v>100</v>
      </c>
      <c r="H1724">
        <v>167.1</v>
      </c>
      <c r="I1724">
        <v>172.3</v>
      </c>
      <c r="J1724">
        <v>100</v>
      </c>
      <c r="K1724">
        <v>100</v>
      </c>
      <c r="L1724" s="1" t="s">
        <v>4179</v>
      </c>
      <c r="M1724" t="s">
        <v>285</v>
      </c>
      <c r="N1724">
        <v>1</v>
      </c>
    </row>
    <row r="1725" spans="1:14" x14ac:dyDescent="0.25">
      <c r="A1725" s="3" t="str">
        <f>HYPERLINK("http://www.ncbi.nlm.nih.gov/gene/79977","79977")</f>
        <v>79977</v>
      </c>
      <c r="B1725" s="1" t="s">
        <v>4181</v>
      </c>
      <c r="C1725" t="s">
        <v>4182</v>
      </c>
      <c r="D1725">
        <v>135.6</v>
      </c>
      <c r="E1725">
        <v>139.4</v>
      </c>
      <c r="F1725">
        <v>100</v>
      </c>
      <c r="G1725">
        <v>100</v>
      </c>
      <c r="H1725">
        <v>135.4</v>
      </c>
      <c r="I1725">
        <v>138.4</v>
      </c>
      <c r="J1725">
        <v>100</v>
      </c>
      <c r="K1725">
        <v>100</v>
      </c>
      <c r="L1725" s="1" t="s">
        <v>4181</v>
      </c>
      <c r="M1725" t="s">
        <v>4183</v>
      </c>
      <c r="N1725">
        <v>8</v>
      </c>
    </row>
    <row r="1726" spans="1:14" x14ac:dyDescent="0.25">
      <c r="A1726" s="3" t="str">
        <f>HYPERLINK("http://www.ncbi.nlm.nih.gov/gene/57822","57822")</f>
        <v>57822</v>
      </c>
      <c r="B1726" s="1" t="s">
        <v>4184</v>
      </c>
      <c r="C1726" t="s">
        <v>4185</v>
      </c>
      <c r="D1726">
        <v>148.5</v>
      </c>
      <c r="E1726">
        <v>156.5</v>
      </c>
      <c r="F1726">
        <v>100</v>
      </c>
      <c r="G1726">
        <v>100</v>
      </c>
      <c r="H1726">
        <v>133.4</v>
      </c>
      <c r="I1726">
        <v>135.4</v>
      </c>
      <c r="J1726">
        <v>100</v>
      </c>
      <c r="K1726">
        <v>100</v>
      </c>
      <c r="L1726" s="1" t="s">
        <v>4184</v>
      </c>
      <c r="M1726" t="s">
        <v>4186</v>
      </c>
      <c r="N1726">
        <v>4</v>
      </c>
    </row>
    <row r="1727" spans="1:14" x14ac:dyDescent="0.25">
      <c r="A1727" s="3" t="str">
        <f>HYPERLINK("http://www.ncbi.nlm.nih.gov/gene/9380","9380")</f>
        <v>9380</v>
      </c>
      <c r="B1727" s="1" t="s">
        <v>4187</v>
      </c>
      <c r="C1727" t="s">
        <v>4188</v>
      </c>
      <c r="D1727">
        <v>104.4</v>
      </c>
      <c r="E1727">
        <v>108.1</v>
      </c>
      <c r="F1727">
        <v>84.2</v>
      </c>
      <c r="G1727">
        <v>81.3</v>
      </c>
      <c r="H1727">
        <v>116.7</v>
      </c>
      <c r="I1727">
        <v>120</v>
      </c>
      <c r="J1727">
        <v>100</v>
      </c>
      <c r="K1727">
        <v>99.3</v>
      </c>
      <c r="L1727" s="1" t="s">
        <v>4187</v>
      </c>
      <c r="M1727" t="s">
        <v>365</v>
      </c>
      <c r="N1727">
        <v>4</v>
      </c>
    </row>
    <row r="1728" spans="1:14" x14ac:dyDescent="0.25">
      <c r="A1728" s="3" t="str">
        <f>HYPERLINK("http://www.ncbi.nlm.nih.gov/gene/2892","2892")</f>
        <v>2892</v>
      </c>
      <c r="B1728" s="1" t="s">
        <v>4189</v>
      </c>
      <c r="C1728" t="s">
        <v>4190</v>
      </c>
      <c r="D1728">
        <v>96.4</v>
      </c>
      <c r="E1728">
        <v>101.2</v>
      </c>
      <c r="F1728">
        <v>99.7</v>
      </c>
      <c r="G1728">
        <v>96.1</v>
      </c>
      <c r="H1728">
        <v>120.2</v>
      </c>
      <c r="I1728">
        <v>124.1</v>
      </c>
      <c r="J1728">
        <v>100</v>
      </c>
      <c r="K1728">
        <v>99.6</v>
      </c>
      <c r="L1728" s="1" t="s">
        <v>4189</v>
      </c>
      <c r="M1728" t="s">
        <v>731</v>
      </c>
      <c r="N1728">
        <v>3</v>
      </c>
    </row>
    <row r="1729" spans="1:14" x14ac:dyDescent="0.25">
      <c r="A1729" s="3" t="str">
        <f>HYPERLINK("http://www.ncbi.nlm.nih.gov/gene/2893","2893")</f>
        <v>2893</v>
      </c>
      <c r="B1729" s="1" t="s">
        <v>4191</v>
      </c>
      <c r="C1729" t="s">
        <v>4192</v>
      </c>
      <c r="D1729">
        <v>148.69999999999999</v>
      </c>
      <c r="E1729">
        <v>153.1</v>
      </c>
      <c r="F1729">
        <v>99.8</v>
      </c>
      <c r="G1729">
        <v>99</v>
      </c>
      <c r="H1729">
        <v>132.69999999999999</v>
      </c>
      <c r="I1729">
        <v>137</v>
      </c>
      <c r="J1729">
        <v>100</v>
      </c>
      <c r="K1729">
        <v>100</v>
      </c>
      <c r="L1729" s="1" t="s">
        <v>4191</v>
      </c>
      <c r="M1729" t="s">
        <v>189</v>
      </c>
      <c r="N1729">
        <v>2</v>
      </c>
    </row>
    <row r="1730" spans="1:14" x14ac:dyDescent="0.25">
      <c r="A1730" s="3" t="str">
        <f>HYPERLINK("http://www.ncbi.nlm.nih.gov/gene/2895","2895")</f>
        <v>2895</v>
      </c>
      <c r="B1730" s="1" t="s">
        <v>4193</v>
      </c>
      <c r="C1730" t="s">
        <v>4194</v>
      </c>
      <c r="D1730">
        <v>174.7</v>
      </c>
      <c r="E1730">
        <v>179.2</v>
      </c>
      <c r="F1730">
        <v>100</v>
      </c>
      <c r="G1730">
        <v>99.8</v>
      </c>
      <c r="H1730">
        <v>154</v>
      </c>
      <c r="I1730">
        <v>159</v>
      </c>
      <c r="J1730">
        <v>100</v>
      </c>
      <c r="K1730">
        <v>100</v>
      </c>
      <c r="L1730" s="1" t="s">
        <v>4193</v>
      </c>
      <c r="M1730" t="s">
        <v>4195</v>
      </c>
      <c r="N1730">
        <v>4</v>
      </c>
    </row>
    <row r="1731" spans="1:14" x14ac:dyDescent="0.25">
      <c r="A1731" s="3" t="str">
        <f>HYPERLINK("http://www.ncbi.nlm.nih.gov/gene/2898","2898")</f>
        <v>2898</v>
      </c>
      <c r="B1731" s="1" t="s">
        <v>4196</v>
      </c>
      <c r="C1731" t="s">
        <v>4197</v>
      </c>
      <c r="D1731">
        <v>148.19999999999999</v>
      </c>
      <c r="E1731">
        <v>156</v>
      </c>
      <c r="F1731">
        <v>96.2</v>
      </c>
      <c r="G1731">
        <v>95.4</v>
      </c>
      <c r="H1731">
        <v>134.80000000000001</v>
      </c>
      <c r="I1731">
        <v>139.69999999999999</v>
      </c>
      <c r="J1731">
        <v>96.3</v>
      </c>
      <c r="K1731">
        <v>96.3</v>
      </c>
      <c r="L1731" s="1" t="s">
        <v>4196</v>
      </c>
      <c r="M1731" t="s">
        <v>228</v>
      </c>
      <c r="N1731">
        <v>3</v>
      </c>
    </row>
    <row r="1732" spans="1:14" x14ac:dyDescent="0.25">
      <c r="A1732" s="3" t="str">
        <f>HYPERLINK("http://www.ncbi.nlm.nih.gov/gene/2902","2902")</f>
        <v>2902</v>
      </c>
      <c r="B1732" s="1" t="s">
        <v>4198</v>
      </c>
      <c r="C1732" t="s">
        <v>4199</v>
      </c>
      <c r="D1732">
        <v>159.5</v>
      </c>
      <c r="E1732">
        <v>164.3</v>
      </c>
      <c r="F1732">
        <v>100</v>
      </c>
      <c r="G1732">
        <v>100</v>
      </c>
      <c r="H1732">
        <v>139.69999999999999</v>
      </c>
      <c r="I1732">
        <v>143.4</v>
      </c>
      <c r="J1732">
        <v>100</v>
      </c>
      <c r="K1732">
        <v>100</v>
      </c>
      <c r="L1732" s="1" t="s">
        <v>4198</v>
      </c>
      <c r="M1732" t="s">
        <v>4200</v>
      </c>
      <c r="N1732">
        <v>6</v>
      </c>
    </row>
    <row r="1733" spans="1:14" x14ac:dyDescent="0.25">
      <c r="A1733" s="3" t="str">
        <f>HYPERLINK("http://www.ncbi.nlm.nih.gov/gene/2903","2903")</f>
        <v>2903</v>
      </c>
      <c r="B1733" s="1" t="s">
        <v>4201</v>
      </c>
      <c r="C1733" t="s">
        <v>4202</v>
      </c>
      <c r="D1733">
        <v>165.2</v>
      </c>
      <c r="E1733">
        <v>161.19999999999999</v>
      </c>
      <c r="F1733">
        <v>100</v>
      </c>
      <c r="G1733">
        <v>100</v>
      </c>
      <c r="H1733">
        <v>155.5</v>
      </c>
      <c r="I1733">
        <v>157.1</v>
      </c>
      <c r="J1733">
        <v>100</v>
      </c>
      <c r="K1733">
        <v>100</v>
      </c>
      <c r="L1733" s="1" t="s">
        <v>4201</v>
      </c>
      <c r="M1733" t="s">
        <v>995</v>
      </c>
      <c r="N1733">
        <v>3</v>
      </c>
    </row>
    <row r="1734" spans="1:14" x14ac:dyDescent="0.25">
      <c r="A1734" s="3" t="str">
        <f>HYPERLINK("http://www.ncbi.nlm.nih.gov/gene/2904","2904")</f>
        <v>2904</v>
      </c>
      <c r="B1734" s="1" t="s">
        <v>4203</v>
      </c>
      <c r="C1734" t="s">
        <v>4204</v>
      </c>
      <c r="D1734">
        <v>168.7</v>
      </c>
      <c r="E1734">
        <v>174.2</v>
      </c>
      <c r="F1734">
        <v>99.8</v>
      </c>
      <c r="G1734">
        <v>99.2</v>
      </c>
      <c r="H1734">
        <v>156</v>
      </c>
      <c r="I1734">
        <v>158.69999999999999</v>
      </c>
      <c r="J1734">
        <v>100</v>
      </c>
      <c r="K1734">
        <v>100</v>
      </c>
      <c r="L1734" s="1" t="s">
        <v>4203</v>
      </c>
      <c r="M1734" t="s">
        <v>877</v>
      </c>
      <c r="N1734">
        <v>4</v>
      </c>
    </row>
    <row r="1735" spans="1:14" x14ac:dyDescent="0.25">
      <c r="A1735" s="3" t="str">
        <f>HYPERLINK("http://www.ncbi.nlm.nih.gov/gene/2906","2906")</f>
        <v>2906</v>
      </c>
      <c r="B1735" s="1" t="s">
        <v>4205</v>
      </c>
      <c r="C1735" t="s">
        <v>4206</v>
      </c>
      <c r="D1735">
        <v>75.8</v>
      </c>
      <c r="E1735">
        <v>76.2</v>
      </c>
      <c r="F1735">
        <v>79.8</v>
      </c>
      <c r="G1735">
        <v>65.400000000000006</v>
      </c>
      <c r="H1735">
        <v>103.8</v>
      </c>
      <c r="I1735">
        <v>102.5</v>
      </c>
      <c r="J1735">
        <v>93.9</v>
      </c>
      <c r="K1735">
        <v>88.7</v>
      </c>
      <c r="L1735" s="1" t="s">
        <v>4205</v>
      </c>
      <c r="M1735" t="s">
        <v>995</v>
      </c>
      <c r="N1735">
        <v>3</v>
      </c>
    </row>
    <row r="1736" spans="1:14" x14ac:dyDescent="0.25">
      <c r="A1736" s="3" t="str">
        <f>HYPERLINK("http://www.ncbi.nlm.nih.gov/gene/23426","23426")</f>
        <v>23426</v>
      </c>
      <c r="B1736" s="1" t="s">
        <v>4207</v>
      </c>
      <c r="C1736" t="s">
        <v>4208</v>
      </c>
      <c r="D1736">
        <v>132.9</v>
      </c>
      <c r="E1736">
        <v>137</v>
      </c>
      <c r="F1736">
        <v>100</v>
      </c>
      <c r="G1736">
        <v>99.7</v>
      </c>
      <c r="H1736">
        <v>145.19999999999999</v>
      </c>
      <c r="I1736">
        <v>149.80000000000001</v>
      </c>
      <c r="J1736">
        <v>100</v>
      </c>
      <c r="K1736">
        <v>100</v>
      </c>
      <c r="L1736" s="1" t="s">
        <v>4207</v>
      </c>
      <c r="M1736" t="s">
        <v>4209</v>
      </c>
      <c r="N1736">
        <v>5</v>
      </c>
    </row>
    <row r="1737" spans="1:14" x14ac:dyDescent="0.25">
      <c r="A1737" s="3" t="str">
        <f>HYPERLINK("http://www.ncbi.nlm.nih.gov/gene/6011","6011")</f>
        <v>6011</v>
      </c>
      <c r="B1737" s="1" t="s">
        <v>4210</v>
      </c>
      <c r="C1737" t="s">
        <v>4211</v>
      </c>
      <c r="D1737">
        <v>161.6</v>
      </c>
      <c r="E1737">
        <v>159.5</v>
      </c>
      <c r="F1737">
        <v>100</v>
      </c>
      <c r="G1737">
        <v>100</v>
      </c>
      <c r="H1737">
        <v>137.6</v>
      </c>
      <c r="I1737">
        <v>142.69999999999999</v>
      </c>
      <c r="J1737">
        <v>100</v>
      </c>
      <c r="K1737">
        <v>100</v>
      </c>
      <c r="L1737" s="1" t="s">
        <v>4210</v>
      </c>
      <c r="M1737" t="s">
        <v>2014</v>
      </c>
      <c r="N1737">
        <v>3</v>
      </c>
    </row>
    <row r="1738" spans="1:14" x14ac:dyDescent="0.25">
      <c r="A1738" s="3" t="str">
        <f>HYPERLINK("http://www.ncbi.nlm.nih.gov/gene/2911","2911")</f>
        <v>2911</v>
      </c>
      <c r="B1738" s="1" t="s">
        <v>4212</v>
      </c>
      <c r="C1738" t="s">
        <v>4213</v>
      </c>
      <c r="D1738">
        <v>175.2</v>
      </c>
      <c r="E1738">
        <v>170.5</v>
      </c>
      <c r="F1738">
        <v>100</v>
      </c>
      <c r="G1738">
        <v>99.7</v>
      </c>
      <c r="H1738">
        <v>151.69999999999999</v>
      </c>
      <c r="I1738">
        <v>155.1</v>
      </c>
      <c r="J1738">
        <v>100</v>
      </c>
      <c r="K1738">
        <v>100</v>
      </c>
      <c r="L1738" s="1" t="s">
        <v>4212</v>
      </c>
      <c r="M1738" t="s">
        <v>644</v>
      </c>
      <c r="N1738">
        <v>4</v>
      </c>
    </row>
    <row r="1739" spans="1:14" x14ac:dyDescent="0.25">
      <c r="A1739" s="3" t="str">
        <f>HYPERLINK("http://www.ncbi.nlm.nih.gov/gene/2916","2916")</f>
        <v>2916</v>
      </c>
      <c r="B1739" s="1" t="s">
        <v>4214</v>
      </c>
      <c r="C1739" t="s">
        <v>4215</v>
      </c>
      <c r="D1739">
        <v>137</v>
      </c>
      <c r="E1739">
        <v>137.80000000000001</v>
      </c>
      <c r="F1739">
        <v>90.2</v>
      </c>
      <c r="G1739">
        <v>80.599999999999994</v>
      </c>
      <c r="H1739">
        <v>137.5</v>
      </c>
      <c r="I1739">
        <v>141.9</v>
      </c>
      <c r="J1739">
        <v>98.3</v>
      </c>
      <c r="K1739">
        <v>96.3</v>
      </c>
      <c r="L1739" s="1" t="s">
        <v>4214</v>
      </c>
      <c r="M1739" t="s">
        <v>56</v>
      </c>
      <c r="N1739">
        <v>3</v>
      </c>
    </row>
    <row r="1740" spans="1:14" x14ac:dyDescent="0.25">
      <c r="A1740" s="3" t="str">
        <f>HYPERLINK("http://www.ncbi.nlm.nih.gov/gene/2896","2896")</f>
        <v>2896</v>
      </c>
      <c r="B1740" s="1" t="s">
        <v>4216</v>
      </c>
      <c r="C1740" t="s">
        <v>4217</v>
      </c>
      <c r="D1740">
        <v>163.69999999999999</v>
      </c>
      <c r="E1740">
        <v>166.2</v>
      </c>
      <c r="F1740">
        <v>100</v>
      </c>
      <c r="G1740">
        <v>100</v>
      </c>
      <c r="H1740">
        <v>161.6</v>
      </c>
      <c r="I1740">
        <v>165</v>
      </c>
      <c r="J1740">
        <v>100</v>
      </c>
      <c r="K1740">
        <v>100</v>
      </c>
      <c r="L1740" s="1" t="s">
        <v>4216</v>
      </c>
      <c r="M1740" t="s">
        <v>4218</v>
      </c>
      <c r="N1740">
        <v>5</v>
      </c>
    </row>
    <row r="1741" spans="1:14" x14ac:dyDescent="0.25">
      <c r="A1741" s="3" t="str">
        <f>HYPERLINK("http://www.ncbi.nlm.nih.gov/gene/389207","389207")</f>
        <v>389207</v>
      </c>
      <c r="B1741" s="1" t="s">
        <v>4219</v>
      </c>
      <c r="C1741" t="s">
        <v>4220</v>
      </c>
      <c r="D1741">
        <v>174</v>
      </c>
      <c r="E1741">
        <v>185.8</v>
      </c>
      <c r="F1741">
        <v>100</v>
      </c>
      <c r="G1741">
        <v>99.8</v>
      </c>
      <c r="H1741">
        <v>148.80000000000001</v>
      </c>
      <c r="I1741">
        <v>154.1</v>
      </c>
      <c r="J1741">
        <v>100</v>
      </c>
      <c r="K1741">
        <v>100</v>
      </c>
      <c r="L1741" s="1" t="s">
        <v>4219</v>
      </c>
      <c r="M1741" t="s">
        <v>269</v>
      </c>
      <c r="N1741">
        <v>3</v>
      </c>
    </row>
    <row r="1742" spans="1:14" x14ac:dyDescent="0.25">
      <c r="A1742" s="3" t="str">
        <f>HYPERLINK("http://www.ncbi.nlm.nih.gov/gene/643226","643226")</f>
        <v>643226</v>
      </c>
      <c r="B1742" s="1" t="s">
        <v>4221</v>
      </c>
      <c r="C1742" t="s">
        <v>4222</v>
      </c>
      <c r="D1742">
        <v>125.6</v>
      </c>
      <c r="E1742">
        <v>135</v>
      </c>
      <c r="F1742">
        <v>100</v>
      </c>
      <c r="G1742">
        <v>100</v>
      </c>
      <c r="H1742">
        <v>161</v>
      </c>
      <c r="I1742">
        <v>167.8</v>
      </c>
      <c r="J1742">
        <v>100</v>
      </c>
      <c r="K1742">
        <v>100</v>
      </c>
      <c r="L1742" s="1" t="s">
        <v>4221</v>
      </c>
      <c r="M1742" t="s">
        <v>269</v>
      </c>
      <c r="N1742">
        <v>3</v>
      </c>
    </row>
    <row r="1743" spans="1:14" x14ac:dyDescent="0.25">
      <c r="A1743" s="3" t="str">
        <f>HYPERLINK("http://www.ncbi.nlm.nih.gov/gene/145258","145258")</f>
        <v>145258</v>
      </c>
      <c r="B1743" s="1" t="s">
        <v>4223</v>
      </c>
      <c r="C1743" t="s">
        <v>4224</v>
      </c>
      <c r="D1743">
        <v>98.4</v>
      </c>
      <c r="E1743">
        <v>103.3</v>
      </c>
      <c r="F1743">
        <v>99.2</v>
      </c>
      <c r="G1743">
        <v>92.4</v>
      </c>
      <c r="H1743">
        <v>112.5</v>
      </c>
      <c r="I1743">
        <v>114.5</v>
      </c>
      <c r="J1743">
        <v>100</v>
      </c>
      <c r="K1743">
        <v>100</v>
      </c>
      <c r="L1743" s="1" t="s">
        <v>4223</v>
      </c>
      <c r="M1743" t="s">
        <v>4225</v>
      </c>
      <c r="N1743">
        <v>4</v>
      </c>
    </row>
    <row r="1744" spans="1:14" x14ac:dyDescent="0.25">
      <c r="A1744" s="3" t="str">
        <f>HYPERLINK("http://www.ncbi.nlm.nih.gov/gene/1687","1687")</f>
        <v>1687</v>
      </c>
      <c r="B1744" s="1" t="s">
        <v>4226</v>
      </c>
      <c r="C1744" t="s">
        <v>4227</v>
      </c>
      <c r="D1744">
        <v>99.6</v>
      </c>
      <c r="E1744">
        <v>104.1</v>
      </c>
      <c r="F1744">
        <v>100</v>
      </c>
      <c r="G1744">
        <v>99.2</v>
      </c>
      <c r="H1744">
        <v>142.69999999999999</v>
      </c>
      <c r="I1744">
        <v>147.9</v>
      </c>
      <c r="J1744">
        <v>100</v>
      </c>
      <c r="K1744">
        <v>100</v>
      </c>
      <c r="L1744" s="1" t="s">
        <v>4226</v>
      </c>
      <c r="M1744" t="s">
        <v>76</v>
      </c>
      <c r="N1744">
        <v>2</v>
      </c>
    </row>
    <row r="1745" spans="1:14" x14ac:dyDescent="0.25">
      <c r="A1745" s="3" t="str">
        <f>HYPERLINK("http://www.ncbi.nlm.nih.gov/gene/23199","23199")</f>
        <v>23199</v>
      </c>
      <c r="B1745" s="1" t="s">
        <v>4228</v>
      </c>
      <c r="C1745" t="s">
        <v>4229</v>
      </c>
      <c r="D1745">
        <v>126.3</v>
      </c>
      <c r="E1745">
        <v>129.9</v>
      </c>
      <c r="F1745">
        <v>99.8</v>
      </c>
      <c r="G1745">
        <v>97.7</v>
      </c>
      <c r="H1745">
        <v>156.4</v>
      </c>
      <c r="I1745">
        <v>160.9</v>
      </c>
      <c r="J1745">
        <v>100</v>
      </c>
      <c r="K1745">
        <v>100</v>
      </c>
      <c r="L1745" s="1" t="s">
        <v>4228</v>
      </c>
      <c r="M1745" t="s">
        <v>189</v>
      </c>
      <c r="N1745">
        <v>2</v>
      </c>
    </row>
    <row r="1746" spans="1:14" x14ac:dyDescent="0.25">
      <c r="A1746" s="3" t="str">
        <f>HYPERLINK("http://www.ncbi.nlm.nih.gov/gene/2934","2934")</f>
        <v>2934</v>
      </c>
      <c r="B1746" s="1" t="s">
        <v>4230</v>
      </c>
      <c r="C1746" t="s">
        <v>4231</v>
      </c>
      <c r="D1746">
        <v>113.4</v>
      </c>
      <c r="E1746">
        <v>117.2</v>
      </c>
      <c r="F1746">
        <v>95.8</v>
      </c>
      <c r="G1746">
        <v>93.5</v>
      </c>
      <c r="H1746">
        <v>123.9</v>
      </c>
      <c r="I1746">
        <v>127.7</v>
      </c>
      <c r="J1746">
        <v>99.9</v>
      </c>
      <c r="K1746">
        <v>99.3</v>
      </c>
      <c r="L1746" s="1" t="s">
        <v>4230</v>
      </c>
      <c r="M1746" t="s">
        <v>4232</v>
      </c>
      <c r="N1746">
        <v>5</v>
      </c>
    </row>
    <row r="1747" spans="1:14" x14ac:dyDescent="0.25">
      <c r="A1747" s="3" t="str">
        <f>HYPERLINK("http://www.ncbi.nlm.nih.gov/gene/2937","2937")</f>
        <v>2937</v>
      </c>
      <c r="B1747" s="1" t="s">
        <v>4233</v>
      </c>
      <c r="C1747" t="s">
        <v>4234</v>
      </c>
      <c r="D1747">
        <v>98.7</v>
      </c>
      <c r="E1747">
        <v>102.4</v>
      </c>
      <c r="F1747">
        <v>96.5</v>
      </c>
      <c r="G1747">
        <v>96.4</v>
      </c>
      <c r="H1747">
        <v>143.1</v>
      </c>
      <c r="I1747">
        <v>146.5</v>
      </c>
      <c r="J1747">
        <v>100</v>
      </c>
      <c r="K1747">
        <v>100</v>
      </c>
      <c r="L1747" s="1" t="s">
        <v>4233</v>
      </c>
      <c r="M1747" t="s">
        <v>38</v>
      </c>
      <c r="N1747">
        <v>4</v>
      </c>
    </row>
    <row r="1748" spans="1:14" x14ac:dyDescent="0.25">
      <c r="A1748" s="3" t="str">
        <f>HYPERLINK("http://www.ncbi.nlm.nih.gov/gene/170825","170825")</f>
        <v>170825</v>
      </c>
      <c r="B1748" s="1" t="s">
        <v>4235</v>
      </c>
      <c r="C1748" t="s">
        <v>4236</v>
      </c>
      <c r="D1748">
        <v>165.5</v>
      </c>
      <c r="E1748">
        <v>150.30000000000001</v>
      </c>
      <c r="F1748">
        <v>100</v>
      </c>
      <c r="G1748">
        <v>100</v>
      </c>
      <c r="H1748">
        <v>167.2</v>
      </c>
      <c r="I1748">
        <v>170.9</v>
      </c>
      <c r="J1748">
        <v>100</v>
      </c>
      <c r="K1748">
        <v>100</v>
      </c>
      <c r="L1748" s="1" t="s">
        <v>4235</v>
      </c>
      <c r="M1748" t="s">
        <v>53</v>
      </c>
      <c r="N1748">
        <v>2</v>
      </c>
    </row>
    <row r="1749" spans="1:14" x14ac:dyDescent="0.25">
      <c r="A1749" s="3" t="str">
        <f>HYPERLINK("http://www.ncbi.nlm.nih.gov/gene/2961","2961")</f>
        <v>2961</v>
      </c>
      <c r="B1749" s="1" t="s">
        <v>4237</v>
      </c>
      <c r="C1749" t="s">
        <v>4238</v>
      </c>
      <c r="D1749">
        <v>108.7</v>
      </c>
      <c r="E1749">
        <v>111.2</v>
      </c>
      <c r="F1749">
        <v>100</v>
      </c>
      <c r="G1749">
        <v>99.8</v>
      </c>
      <c r="H1749">
        <v>122.6</v>
      </c>
      <c r="I1749">
        <v>126.3</v>
      </c>
      <c r="J1749">
        <v>100</v>
      </c>
      <c r="K1749">
        <v>100</v>
      </c>
      <c r="L1749" s="1" t="s">
        <v>4237</v>
      </c>
      <c r="M1749" t="s">
        <v>246</v>
      </c>
      <c r="N1749">
        <v>3</v>
      </c>
    </row>
    <row r="1750" spans="1:14" x14ac:dyDescent="0.25">
      <c r="A1750" s="3" t="str">
        <f>HYPERLINK("http://www.ncbi.nlm.nih.gov/gene/404672","404672")</f>
        <v>404672</v>
      </c>
      <c r="B1750" s="1" t="s">
        <v>4239</v>
      </c>
      <c r="C1750" t="s">
        <v>4240</v>
      </c>
      <c r="D1750">
        <v>69.900000000000006</v>
      </c>
      <c r="E1750">
        <v>75.900000000000006</v>
      </c>
      <c r="F1750">
        <v>72.5</v>
      </c>
      <c r="G1750">
        <v>72.2</v>
      </c>
      <c r="H1750">
        <v>96.8</v>
      </c>
      <c r="I1750">
        <v>100.7</v>
      </c>
      <c r="J1750">
        <v>72.5</v>
      </c>
      <c r="K1750">
        <v>72.5</v>
      </c>
      <c r="L1750" s="1" t="s">
        <v>4239</v>
      </c>
      <c r="M1750" t="s">
        <v>4241</v>
      </c>
      <c r="N1750">
        <v>5</v>
      </c>
    </row>
    <row r="1751" spans="1:14" x14ac:dyDescent="0.25">
      <c r="A1751" s="3" t="str">
        <f>HYPERLINK("http://www.ncbi.nlm.nih.gov/gene/54676","54676")</f>
        <v>54676</v>
      </c>
      <c r="B1751" s="1" t="s">
        <v>4242</v>
      </c>
      <c r="C1751" t="s">
        <v>4243</v>
      </c>
      <c r="D1751">
        <v>138.4</v>
      </c>
      <c r="E1751">
        <v>140.5</v>
      </c>
      <c r="F1751">
        <v>100</v>
      </c>
      <c r="G1751">
        <v>99.3</v>
      </c>
      <c r="H1751">
        <v>147.4</v>
      </c>
      <c r="I1751">
        <v>151.9</v>
      </c>
      <c r="J1751">
        <v>100</v>
      </c>
      <c r="K1751">
        <v>99.9</v>
      </c>
      <c r="L1751" s="1" t="s">
        <v>4242</v>
      </c>
      <c r="M1751" t="s">
        <v>830</v>
      </c>
      <c r="N1751">
        <v>4</v>
      </c>
    </row>
    <row r="1752" spans="1:14" x14ac:dyDescent="0.25">
      <c r="A1752" s="3" t="str">
        <f>HYPERLINK("http://www.ncbi.nlm.nih.gov/gene/84705","84705")</f>
        <v>84705</v>
      </c>
      <c r="B1752" s="1" t="s">
        <v>4244</v>
      </c>
      <c r="C1752" t="s">
        <v>4245</v>
      </c>
      <c r="D1752">
        <v>159.30000000000001</v>
      </c>
      <c r="E1752">
        <v>163.19999999999999</v>
      </c>
      <c r="F1752">
        <v>100</v>
      </c>
      <c r="G1752">
        <v>99.8</v>
      </c>
      <c r="H1752">
        <v>156.80000000000001</v>
      </c>
      <c r="I1752">
        <v>162.19999999999999</v>
      </c>
      <c r="J1752">
        <v>100</v>
      </c>
      <c r="K1752">
        <v>100</v>
      </c>
      <c r="L1752" s="1" t="s">
        <v>4244</v>
      </c>
      <c r="M1752" t="s">
        <v>830</v>
      </c>
      <c r="N1752">
        <v>4</v>
      </c>
    </row>
    <row r="1753" spans="1:14" x14ac:dyDescent="0.25">
      <c r="A1753" s="3" t="str">
        <f>HYPERLINK("http://www.ncbi.nlm.nih.gov/gene/2978","2978")</f>
        <v>2978</v>
      </c>
      <c r="B1753" s="1" t="s">
        <v>4246</v>
      </c>
      <c r="C1753" t="s">
        <v>4247</v>
      </c>
      <c r="D1753">
        <v>167.7</v>
      </c>
      <c r="E1753">
        <v>177.2</v>
      </c>
      <c r="F1753">
        <v>100</v>
      </c>
      <c r="G1753">
        <v>100</v>
      </c>
      <c r="H1753">
        <v>136.5</v>
      </c>
      <c r="I1753">
        <v>140.80000000000001</v>
      </c>
      <c r="J1753">
        <v>100</v>
      </c>
      <c r="K1753">
        <v>100</v>
      </c>
      <c r="L1753" s="1" t="s">
        <v>4246</v>
      </c>
      <c r="M1753" t="s">
        <v>302</v>
      </c>
      <c r="N1753">
        <v>2</v>
      </c>
    </row>
    <row r="1754" spans="1:14" x14ac:dyDescent="0.25">
      <c r="A1754" s="3" t="str">
        <f>HYPERLINK("http://www.ncbi.nlm.nih.gov/gene/2979","2979")</f>
        <v>2979</v>
      </c>
      <c r="B1754" s="1" t="s">
        <v>4248</v>
      </c>
      <c r="C1754" t="s">
        <v>4249</v>
      </c>
      <c r="D1754">
        <v>133.6</v>
      </c>
      <c r="E1754">
        <v>139.5</v>
      </c>
      <c r="F1754">
        <v>100</v>
      </c>
      <c r="G1754">
        <v>100</v>
      </c>
      <c r="H1754">
        <v>136.30000000000001</v>
      </c>
      <c r="I1754">
        <v>140.5</v>
      </c>
      <c r="J1754">
        <v>100</v>
      </c>
      <c r="K1754">
        <v>100</v>
      </c>
      <c r="L1754" s="1" t="s">
        <v>4248</v>
      </c>
      <c r="M1754" t="s">
        <v>793</v>
      </c>
      <c r="N1754">
        <v>2</v>
      </c>
    </row>
    <row r="1755" spans="1:14" x14ac:dyDescent="0.25">
      <c r="A1755" s="3" t="str">
        <f>HYPERLINK("http://www.ncbi.nlm.nih.gov/gene/2982","2982")</f>
        <v>2982</v>
      </c>
      <c r="B1755" s="1" t="s">
        <v>4250</v>
      </c>
      <c r="C1755" t="s">
        <v>4251</v>
      </c>
      <c r="D1755">
        <v>184</v>
      </c>
      <c r="E1755">
        <v>188.5</v>
      </c>
      <c r="F1755">
        <v>100</v>
      </c>
      <c r="G1755">
        <v>99.8</v>
      </c>
      <c r="H1755">
        <v>138.19999999999999</v>
      </c>
      <c r="I1755">
        <v>140.9</v>
      </c>
      <c r="J1755">
        <v>100</v>
      </c>
      <c r="K1755">
        <v>100</v>
      </c>
      <c r="L1755" s="1" t="s">
        <v>4250</v>
      </c>
      <c r="M1755" t="s">
        <v>53</v>
      </c>
      <c r="N1755">
        <v>2</v>
      </c>
    </row>
    <row r="1756" spans="1:14" x14ac:dyDescent="0.25">
      <c r="A1756" s="3" t="str">
        <f>HYPERLINK("http://www.ncbi.nlm.nih.gov/gene/2984","2984")</f>
        <v>2984</v>
      </c>
      <c r="B1756" s="1" t="s">
        <v>4252</v>
      </c>
      <c r="C1756" t="s">
        <v>4253</v>
      </c>
      <c r="D1756">
        <v>142.1</v>
      </c>
      <c r="E1756">
        <v>148</v>
      </c>
      <c r="F1756">
        <v>100</v>
      </c>
      <c r="G1756">
        <v>99.6</v>
      </c>
      <c r="H1756">
        <v>135.80000000000001</v>
      </c>
      <c r="I1756">
        <v>139.6</v>
      </c>
      <c r="J1756">
        <v>100</v>
      </c>
      <c r="K1756">
        <v>100</v>
      </c>
      <c r="L1756" s="1" t="s">
        <v>4252</v>
      </c>
      <c r="M1756" t="s">
        <v>569</v>
      </c>
      <c r="N1756">
        <v>2</v>
      </c>
    </row>
    <row r="1757" spans="1:14" x14ac:dyDescent="0.25">
      <c r="A1757" s="3" t="str">
        <f>HYPERLINK("http://www.ncbi.nlm.nih.gov/gene/3000","3000")</f>
        <v>3000</v>
      </c>
      <c r="B1757" s="1" t="s">
        <v>4254</v>
      </c>
      <c r="C1757" t="s">
        <v>4255</v>
      </c>
      <c r="D1757">
        <v>101.6</v>
      </c>
      <c r="E1757">
        <v>100</v>
      </c>
      <c r="F1757">
        <v>99.6</v>
      </c>
      <c r="G1757">
        <v>96.2</v>
      </c>
      <c r="H1757">
        <v>154.80000000000001</v>
      </c>
      <c r="I1757">
        <v>158.1</v>
      </c>
      <c r="J1757">
        <v>100</v>
      </c>
      <c r="K1757">
        <v>100</v>
      </c>
      <c r="L1757" s="1" t="s">
        <v>4254</v>
      </c>
      <c r="M1757" t="s">
        <v>4256</v>
      </c>
      <c r="N1757">
        <v>3</v>
      </c>
    </row>
    <row r="1758" spans="1:14" x14ac:dyDescent="0.25">
      <c r="A1758" s="3" t="str">
        <f>HYPERLINK("http://www.ncbi.nlm.nih.gov/gene/60558","60558")</f>
        <v>60558</v>
      </c>
      <c r="B1758" s="1" t="s">
        <v>4257</v>
      </c>
      <c r="C1758" t="s">
        <v>4258</v>
      </c>
      <c r="D1758">
        <v>111</v>
      </c>
      <c r="E1758">
        <v>114.9</v>
      </c>
      <c r="F1758">
        <v>99.7</v>
      </c>
      <c r="G1758">
        <v>97.8</v>
      </c>
      <c r="H1758">
        <v>119.4</v>
      </c>
      <c r="I1758">
        <v>122.7</v>
      </c>
      <c r="J1758">
        <v>100</v>
      </c>
      <c r="K1758">
        <v>100</v>
      </c>
      <c r="L1758" s="1" t="s">
        <v>4257</v>
      </c>
      <c r="M1758" t="s">
        <v>53</v>
      </c>
      <c r="N1758">
        <v>2</v>
      </c>
    </row>
    <row r="1759" spans="1:14" x14ac:dyDescent="0.25">
      <c r="A1759" s="3" t="str">
        <f>HYPERLINK("http://www.ncbi.nlm.nih.gov/gene/2990","2990")</f>
        <v>2990</v>
      </c>
      <c r="B1759" s="1" t="s">
        <v>4259</v>
      </c>
      <c r="C1759" t="s">
        <v>4260</v>
      </c>
      <c r="D1759">
        <v>107.4</v>
      </c>
      <c r="E1759">
        <v>111.3</v>
      </c>
      <c r="F1759">
        <v>92.9</v>
      </c>
      <c r="G1759">
        <v>91.7</v>
      </c>
      <c r="H1759">
        <v>137.80000000000001</v>
      </c>
      <c r="I1759">
        <v>142.6</v>
      </c>
      <c r="J1759">
        <v>100</v>
      </c>
      <c r="K1759">
        <v>100</v>
      </c>
      <c r="L1759" s="1" t="s">
        <v>4259</v>
      </c>
      <c r="M1759" t="s">
        <v>468</v>
      </c>
      <c r="N1759">
        <v>5</v>
      </c>
    </row>
    <row r="1760" spans="1:14" x14ac:dyDescent="0.25">
      <c r="A1760" s="3" t="str">
        <f>HYPERLINK("http://www.ncbi.nlm.nih.gov/gene/2992","2992")</f>
        <v>2992</v>
      </c>
      <c r="B1760" s="1" t="s">
        <v>4261</v>
      </c>
      <c r="C1760" t="s">
        <v>4262</v>
      </c>
      <c r="D1760">
        <v>152.5</v>
      </c>
      <c r="E1760">
        <v>151.69999999999999</v>
      </c>
      <c r="F1760">
        <v>99.9</v>
      </c>
      <c r="G1760">
        <v>99.2</v>
      </c>
      <c r="H1760">
        <v>136.4</v>
      </c>
      <c r="I1760">
        <v>140.80000000000001</v>
      </c>
      <c r="J1760">
        <v>100</v>
      </c>
      <c r="K1760">
        <v>100</v>
      </c>
      <c r="L1760" s="1" t="s">
        <v>4261</v>
      </c>
      <c r="M1760" t="s">
        <v>3934</v>
      </c>
      <c r="N1760">
        <v>4</v>
      </c>
    </row>
    <row r="1761" spans="1:14" x14ac:dyDescent="0.25">
      <c r="A1761" s="3" t="str">
        <f>HYPERLINK("http://www.ncbi.nlm.nih.gov/gene/2997","2997")</f>
        <v>2997</v>
      </c>
      <c r="B1761" s="1" t="s">
        <v>4263</v>
      </c>
      <c r="C1761" t="s">
        <v>4264</v>
      </c>
      <c r="D1761">
        <v>127.8</v>
      </c>
      <c r="E1761">
        <v>131.5</v>
      </c>
      <c r="F1761">
        <v>100</v>
      </c>
      <c r="G1761">
        <v>98.6</v>
      </c>
      <c r="H1761">
        <v>134.9</v>
      </c>
      <c r="I1761">
        <v>138.5</v>
      </c>
      <c r="J1761">
        <v>100</v>
      </c>
      <c r="K1761">
        <v>100</v>
      </c>
      <c r="L1761" s="1" t="s">
        <v>4263</v>
      </c>
      <c r="M1761" t="s">
        <v>3934</v>
      </c>
      <c r="N1761">
        <v>4</v>
      </c>
    </row>
    <row r="1762" spans="1:14" x14ac:dyDescent="0.25">
      <c r="A1762" s="3" t="str">
        <f>HYPERLINK("http://www.ncbi.nlm.nih.gov/gene/2998","2998")</f>
        <v>2998</v>
      </c>
      <c r="B1762" s="1" t="s">
        <v>4265</v>
      </c>
      <c r="D1762">
        <v>149.1</v>
      </c>
      <c r="E1762">
        <v>155</v>
      </c>
      <c r="F1762">
        <v>99.8</v>
      </c>
      <c r="G1762">
        <v>99</v>
      </c>
      <c r="H1762">
        <v>146</v>
      </c>
      <c r="I1762">
        <v>150.6</v>
      </c>
      <c r="J1762">
        <v>100</v>
      </c>
      <c r="K1762">
        <v>100</v>
      </c>
      <c r="L1762" s="1" t="s">
        <v>4265</v>
      </c>
      <c r="M1762" t="s">
        <v>116</v>
      </c>
      <c r="N1762">
        <v>3</v>
      </c>
    </row>
    <row r="1763" spans="1:14" x14ac:dyDescent="0.25">
      <c r="A1763" s="3" t="str">
        <f>HYPERLINK("http://www.ncbi.nlm.nih.gov/gene/64412","64412")</f>
        <v>64412</v>
      </c>
      <c r="B1763" s="1" t="s">
        <v>4266</v>
      </c>
      <c r="C1763" t="s">
        <v>4267</v>
      </c>
      <c r="D1763">
        <v>183.4</v>
      </c>
      <c r="E1763">
        <v>179.1</v>
      </c>
      <c r="F1763">
        <v>100</v>
      </c>
      <c r="G1763">
        <v>99.6</v>
      </c>
      <c r="H1763">
        <v>146.69999999999999</v>
      </c>
      <c r="I1763">
        <v>146.30000000000001</v>
      </c>
      <c r="J1763">
        <v>100</v>
      </c>
      <c r="K1763">
        <v>100</v>
      </c>
      <c r="L1763" s="1" t="s">
        <v>4266</v>
      </c>
      <c r="M1763" t="s">
        <v>1168</v>
      </c>
      <c r="N1763">
        <v>3</v>
      </c>
    </row>
    <row r="1764" spans="1:14" x14ac:dyDescent="0.25">
      <c r="A1764" s="3" t="str">
        <f>HYPERLINK("http://www.ncbi.nlm.nih.gov/gene/3008","3008")</f>
        <v>3008</v>
      </c>
      <c r="B1764" s="1" t="s">
        <v>4268</v>
      </c>
      <c r="C1764" t="s">
        <v>4269</v>
      </c>
      <c r="D1764">
        <v>117.2</v>
      </c>
      <c r="E1764">
        <v>101.8</v>
      </c>
      <c r="F1764">
        <v>100</v>
      </c>
      <c r="G1764">
        <v>100</v>
      </c>
      <c r="H1764">
        <v>132.80000000000001</v>
      </c>
      <c r="I1764">
        <v>138.9</v>
      </c>
      <c r="J1764">
        <v>100</v>
      </c>
      <c r="K1764">
        <v>100</v>
      </c>
      <c r="L1764" s="1" t="s">
        <v>4268</v>
      </c>
      <c r="M1764" t="s">
        <v>189</v>
      </c>
      <c r="N1764">
        <v>2</v>
      </c>
    </row>
    <row r="1765" spans="1:14" x14ac:dyDescent="0.25">
      <c r="A1765" s="3" t="str">
        <f>HYPERLINK("http://www.ncbi.nlm.nih.gov/gene/283120","283120")</f>
        <v>283120</v>
      </c>
      <c r="B1765" s="1" t="s">
        <v>4270</v>
      </c>
      <c r="C1765" t="s">
        <v>4271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 s="1" t="s">
        <v>4270</v>
      </c>
      <c r="M1765" t="s">
        <v>22</v>
      </c>
      <c r="N1765">
        <v>1</v>
      </c>
    </row>
    <row r="1766" spans="1:14" x14ac:dyDescent="0.25">
      <c r="A1766" s="3" t="str">
        <f>HYPERLINK("http://www.ncbi.nlm.nih.gov/gene/8364","8364")</f>
        <v>8364</v>
      </c>
      <c r="B1766" s="1" t="s">
        <v>4272</v>
      </c>
      <c r="C1766" t="s">
        <v>4273</v>
      </c>
      <c r="D1766">
        <v>102.3</v>
      </c>
      <c r="E1766">
        <v>109.6</v>
      </c>
      <c r="F1766">
        <v>100</v>
      </c>
      <c r="G1766">
        <v>100</v>
      </c>
      <c r="H1766">
        <v>182.9</v>
      </c>
      <c r="I1766">
        <v>187.1</v>
      </c>
      <c r="J1766">
        <v>100</v>
      </c>
      <c r="K1766">
        <v>100</v>
      </c>
      <c r="L1766" s="1" t="s">
        <v>4272</v>
      </c>
      <c r="M1766" t="s">
        <v>189</v>
      </c>
      <c r="N1766">
        <v>2</v>
      </c>
    </row>
    <row r="1767" spans="1:14" x14ac:dyDescent="0.25">
      <c r="A1767" s="3" t="str">
        <f>HYPERLINK("http://www.ncbi.nlm.nih.gov/gene/9563","9563")</f>
        <v>9563</v>
      </c>
      <c r="B1767" s="1" t="s">
        <v>4274</v>
      </c>
      <c r="C1767" t="s">
        <v>4275</v>
      </c>
      <c r="D1767">
        <v>197.5</v>
      </c>
      <c r="E1767">
        <v>190.9</v>
      </c>
      <c r="F1767">
        <v>99</v>
      </c>
      <c r="G1767">
        <v>99</v>
      </c>
      <c r="H1767">
        <v>150.19999999999999</v>
      </c>
      <c r="I1767">
        <v>151.6</v>
      </c>
      <c r="J1767">
        <v>100</v>
      </c>
      <c r="K1767">
        <v>100</v>
      </c>
      <c r="L1767" s="1" t="s">
        <v>4274</v>
      </c>
      <c r="M1767" t="s">
        <v>116</v>
      </c>
      <c r="N1767">
        <v>3</v>
      </c>
    </row>
    <row r="1768" spans="1:14" x14ac:dyDescent="0.25">
      <c r="A1768" s="3" t="str">
        <f>HYPERLINK("http://www.ncbi.nlm.nih.gov/gene/23498","23498")</f>
        <v>23498</v>
      </c>
      <c r="B1768" s="1" t="s">
        <v>4276</v>
      </c>
      <c r="C1768" t="s">
        <v>4277</v>
      </c>
      <c r="D1768">
        <v>100.1</v>
      </c>
      <c r="E1768">
        <v>102.2</v>
      </c>
      <c r="F1768">
        <v>100</v>
      </c>
      <c r="G1768">
        <v>99.8</v>
      </c>
      <c r="H1768">
        <v>140.4</v>
      </c>
      <c r="I1768">
        <v>142.6</v>
      </c>
      <c r="J1768">
        <v>100</v>
      </c>
      <c r="K1768">
        <v>100</v>
      </c>
      <c r="L1768" s="1" t="s">
        <v>4276</v>
      </c>
      <c r="M1768" t="s">
        <v>1168</v>
      </c>
      <c r="N1768">
        <v>3</v>
      </c>
    </row>
    <row r="1769" spans="1:14" x14ac:dyDescent="0.25">
      <c r="A1769" s="3" t="str">
        <f>HYPERLINK("http://www.ncbi.nlm.nih.gov/gene/3026","3026")</f>
        <v>3026</v>
      </c>
      <c r="B1769" s="1" t="s">
        <v>4278</v>
      </c>
      <c r="C1769" t="s">
        <v>4279</v>
      </c>
      <c r="D1769">
        <v>128</v>
      </c>
      <c r="E1769">
        <v>134</v>
      </c>
      <c r="F1769">
        <v>100</v>
      </c>
      <c r="G1769">
        <v>99.9</v>
      </c>
      <c r="H1769">
        <v>144.4</v>
      </c>
      <c r="I1769">
        <v>148.4</v>
      </c>
      <c r="J1769">
        <v>100</v>
      </c>
      <c r="K1769">
        <v>100</v>
      </c>
      <c r="L1769" s="1" t="s">
        <v>4278</v>
      </c>
      <c r="M1769" t="s">
        <v>3596</v>
      </c>
      <c r="N1769">
        <v>2</v>
      </c>
    </row>
    <row r="1770" spans="1:14" x14ac:dyDescent="0.25">
      <c r="A1770" s="3" t="str">
        <f>HYPERLINK("http://www.ncbi.nlm.nih.gov/gene/57531","57531")</f>
        <v>57531</v>
      </c>
      <c r="B1770" s="1" t="s">
        <v>4280</v>
      </c>
      <c r="C1770" t="s">
        <v>4281</v>
      </c>
      <c r="D1770">
        <v>164.1</v>
      </c>
      <c r="E1770">
        <v>171.9</v>
      </c>
      <c r="F1770">
        <v>100</v>
      </c>
      <c r="G1770">
        <v>99.3</v>
      </c>
      <c r="H1770">
        <v>121.8</v>
      </c>
      <c r="I1770">
        <v>124.6</v>
      </c>
      <c r="J1770">
        <v>100</v>
      </c>
      <c r="K1770">
        <v>100</v>
      </c>
      <c r="L1770" s="1" t="s">
        <v>4280</v>
      </c>
      <c r="M1770" t="s">
        <v>3419</v>
      </c>
      <c r="N1770">
        <v>6</v>
      </c>
    </row>
    <row r="1771" spans="1:14" x14ac:dyDescent="0.25">
      <c r="A1771" s="3" t="str">
        <f>HYPERLINK("http://www.ncbi.nlm.nih.gov/gene/3033","3033")</f>
        <v>3033</v>
      </c>
      <c r="B1771" s="1" t="s">
        <v>4282</v>
      </c>
      <c r="C1771" t="s">
        <v>4283</v>
      </c>
      <c r="D1771">
        <v>123.4</v>
      </c>
      <c r="E1771">
        <v>127.1</v>
      </c>
      <c r="F1771">
        <v>99</v>
      </c>
      <c r="G1771">
        <v>97.5</v>
      </c>
      <c r="H1771">
        <v>121.7</v>
      </c>
      <c r="I1771">
        <v>125.3</v>
      </c>
      <c r="J1771">
        <v>100</v>
      </c>
      <c r="K1771">
        <v>100</v>
      </c>
      <c r="L1771" s="1" t="s">
        <v>4282</v>
      </c>
      <c r="M1771" t="s">
        <v>214</v>
      </c>
      <c r="N1771">
        <v>5</v>
      </c>
    </row>
    <row r="1772" spans="1:14" x14ac:dyDescent="0.25">
      <c r="A1772" s="3" t="str">
        <f>HYPERLINK("http://www.ncbi.nlm.nih.gov/gene/3030","3030")</f>
        <v>3030</v>
      </c>
      <c r="B1772" s="1" t="s">
        <v>4284</v>
      </c>
      <c r="C1772" t="s">
        <v>4285</v>
      </c>
      <c r="D1772">
        <v>87</v>
      </c>
      <c r="E1772">
        <v>87.5</v>
      </c>
      <c r="F1772">
        <v>97.2</v>
      </c>
      <c r="G1772">
        <v>91.6</v>
      </c>
      <c r="H1772">
        <v>146.19999999999999</v>
      </c>
      <c r="I1772">
        <v>149.9</v>
      </c>
      <c r="J1772">
        <v>100</v>
      </c>
      <c r="K1772">
        <v>100</v>
      </c>
      <c r="L1772" s="1" t="s">
        <v>4284</v>
      </c>
      <c r="M1772" t="s">
        <v>4286</v>
      </c>
      <c r="N1772">
        <v>8</v>
      </c>
    </row>
    <row r="1773" spans="1:14" x14ac:dyDescent="0.25">
      <c r="A1773" s="3" t="str">
        <f>HYPERLINK("http://www.ncbi.nlm.nih.gov/gene/3032","3032")</f>
        <v>3032</v>
      </c>
      <c r="B1773" s="1" t="s">
        <v>4287</v>
      </c>
      <c r="C1773" t="s">
        <v>4288</v>
      </c>
      <c r="D1773">
        <v>87.6</v>
      </c>
      <c r="E1773">
        <v>90.7</v>
      </c>
      <c r="F1773">
        <v>98.8</v>
      </c>
      <c r="G1773">
        <v>89.7</v>
      </c>
      <c r="H1773">
        <v>125</v>
      </c>
      <c r="I1773">
        <v>127.9</v>
      </c>
      <c r="J1773">
        <v>100</v>
      </c>
      <c r="K1773">
        <v>100</v>
      </c>
      <c r="L1773" s="1" t="s">
        <v>4287</v>
      </c>
      <c r="M1773" t="s">
        <v>4289</v>
      </c>
      <c r="N1773">
        <v>6</v>
      </c>
    </row>
    <row r="1774" spans="1:14" x14ac:dyDescent="0.25">
      <c r="A1774" s="3" t="str">
        <f>HYPERLINK("http://www.ncbi.nlm.nih.gov/gene/3029","3029")</f>
        <v>3029</v>
      </c>
      <c r="B1774" s="1" t="s">
        <v>4290</v>
      </c>
      <c r="C1774" t="s">
        <v>4291</v>
      </c>
      <c r="D1774">
        <v>141.4</v>
      </c>
      <c r="E1774">
        <v>147.9</v>
      </c>
      <c r="F1774">
        <v>100</v>
      </c>
      <c r="G1774">
        <v>99.7</v>
      </c>
      <c r="H1774">
        <v>134.4</v>
      </c>
      <c r="I1774">
        <v>136.9</v>
      </c>
      <c r="J1774">
        <v>98.7</v>
      </c>
      <c r="K1774">
        <v>96.1</v>
      </c>
      <c r="L1774" s="1" t="s">
        <v>4290</v>
      </c>
      <c r="M1774" t="s">
        <v>93</v>
      </c>
      <c r="N1774">
        <v>2</v>
      </c>
    </row>
    <row r="1775" spans="1:14" x14ac:dyDescent="0.25">
      <c r="A1775" s="3" t="str">
        <f>HYPERLINK("http://www.ncbi.nlm.nih.gov/gene/57817","57817")</f>
        <v>57817</v>
      </c>
      <c r="B1775" s="1" t="s">
        <v>4292</v>
      </c>
      <c r="C1775" t="s">
        <v>4293</v>
      </c>
      <c r="D1775">
        <v>190</v>
      </c>
      <c r="E1775">
        <v>192.7</v>
      </c>
      <c r="F1775">
        <v>100</v>
      </c>
      <c r="G1775">
        <v>100</v>
      </c>
      <c r="H1775">
        <v>153.6</v>
      </c>
      <c r="I1775">
        <v>156</v>
      </c>
      <c r="J1775">
        <v>100</v>
      </c>
      <c r="K1775">
        <v>100</v>
      </c>
      <c r="L1775" s="1" t="s">
        <v>4292</v>
      </c>
      <c r="M1775" t="s">
        <v>4294</v>
      </c>
      <c r="N1775">
        <v>4</v>
      </c>
    </row>
    <row r="1776" spans="1:14" x14ac:dyDescent="0.25">
      <c r="A1776" s="3" t="str">
        <f>HYPERLINK("http://www.ncbi.nlm.nih.gov/gene/9421","9421")</f>
        <v>9421</v>
      </c>
      <c r="B1776" s="1" t="s">
        <v>4295</v>
      </c>
      <c r="C1776" t="s">
        <v>4296</v>
      </c>
      <c r="D1776">
        <v>122.2</v>
      </c>
      <c r="E1776">
        <v>115</v>
      </c>
      <c r="F1776">
        <v>100</v>
      </c>
      <c r="G1776">
        <v>100</v>
      </c>
      <c r="H1776">
        <v>131.19999999999999</v>
      </c>
      <c r="I1776">
        <v>132</v>
      </c>
      <c r="J1776">
        <v>100</v>
      </c>
      <c r="K1776">
        <v>100</v>
      </c>
      <c r="L1776" s="1" t="s">
        <v>4295</v>
      </c>
      <c r="M1776" t="s">
        <v>180</v>
      </c>
      <c r="N1776">
        <v>3</v>
      </c>
    </row>
    <row r="1777" spans="1:14" x14ac:dyDescent="0.25">
      <c r="A1777" s="3" t="str">
        <f>HYPERLINK("http://www.ncbi.nlm.nih.gov/gene/9464","9464")</f>
        <v>9464</v>
      </c>
      <c r="B1777" s="1" t="s">
        <v>4297</v>
      </c>
      <c r="C1777" t="s">
        <v>4298</v>
      </c>
      <c r="D1777">
        <v>108.7</v>
      </c>
      <c r="E1777">
        <v>59.8</v>
      </c>
      <c r="F1777">
        <v>99.8</v>
      </c>
      <c r="G1777">
        <v>92.6</v>
      </c>
      <c r="H1777">
        <v>125.9</v>
      </c>
      <c r="I1777">
        <v>125.7</v>
      </c>
      <c r="J1777">
        <v>100</v>
      </c>
      <c r="K1777">
        <v>100</v>
      </c>
      <c r="L1777" s="1" t="s">
        <v>4297</v>
      </c>
      <c r="M1777" t="s">
        <v>180</v>
      </c>
      <c r="N1777">
        <v>3</v>
      </c>
    </row>
    <row r="1778" spans="1:14" x14ac:dyDescent="0.25">
      <c r="A1778" s="3" t="str">
        <f>HYPERLINK("http://www.ncbi.nlm.nih.gov/gene/3035","3035")</f>
        <v>3035</v>
      </c>
      <c r="B1778" s="1" t="s">
        <v>4299</v>
      </c>
      <c r="C1778" t="s">
        <v>4300</v>
      </c>
      <c r="D1778">
        <v>148.1</v>
      </c>
      <c r="E1778">
        <v>152</v>
      </c>
      <c r="F1778">
        <v>100</v>
      </c>
      <c r="G1778">
        <v>100</v>
      </c>
      <c r="H1778">
        <v>132.4</v>
      </c>
      <c r="I1778">
        <v>135.80000000000001</v>
      </c>
      <c r="J1778">
        <v>100</v>
      </c>
      <c r="K1778">
        <v>100</v>
      </c>
      <c r="L1778" s="1" t="s">
        <v>4299</v>
      </c>
      <c r="M1778" t="s">
        <v>4301</v>
      </c>
      <c r="N1778">
        <v>5</v>
      </c>
    </row>
    <row r="1779" spans="1:14" x14ac:dyDescent="0.25">
      <c r="A1779" s="3" t="str">
        <f>HYPERLINK("http://www.ncbi.nlm.nih.gov/gene/23438","23438")</f>
        <v>23438</v>
      </c>
      <c r="B1779" s="1" t="s">
        <v>4302</v>
      </c>
      <c r="C1779" t="s">
        <v>4303</v>
      </c>
      <c r="D1779">
        <v>145.1</v>
      </c>
      <c r="E1779">
        <v>148.6</v>
      </c>
      <c r="F1779">
        <v>100</v>
      </c>
      <c r="G1779">
        <v>100</v>
      </c>
      <c r="H1779">
        <v>123.1</v>
      </c>
      <c r="I1779">
        <v>126.3</v>
      </c>
      <c r="J1779">
        <v>100</v>
      </c>
      <c r="K1779">
        <v>100</v>
      </c>
      <c r="L1779" s="1" t="s">
        <v>4302</v>
      </c>
      <c r="M1779" t="s">
        <v>3209</v>
      </c>
      <c r="N1779">
        <v>4</v>
      </c>
    </row>
    <row r="1780" spans="1:14" x14ac:dyDescent="0.25">
      <c r="A1780" s="3" t="str">
        <f>HYPERLINK("http://www.ncbi.nlm.nih.gov/gene/84868","84868")</f>
        <v>84868</v>
      </c>
      <c r="B1780" s="1" t="s">
        <v>4304</v>
      </c>
      <c r="C1780" t="s">
        <v>4305</v>
      </c>
      <c r="D1780">
        <v>137.69999999999999</v>
      </c>
      <c r="E1780">
        <v>141.9</v>
      </c>
      <c r="F1780">
        <v>100</v>
      </c>
      <c r="G1780">
        <v>100</v>
      </c>
      <c r="H1780">
        <v>136.6</v>
      </c>
      <c r="I1780">
        <v>139.9</v>
      </c>
      <c r="J1780">
        <v>100</v>
      </c>
      <c r="K1780">
        <v>100</v>
      </c>
      <c r="L1780" s="1" t="s">
        <v>4304</v>
      </c>
      <c r="M1780" t="s">
        <v>4306</v>
      </c>
      <c r="N1780">
        <v>5</v>
      </c>
    </row>
    <row r="1781" spans="1:14" x14ac:dyDescent="0.25">
      <c r="A1781" s="3" t="str">
        <f>HYPERLINK("http://www.ncbi.nlm.nih.gov/gene/10456","10456")</f>
        <v>10456</v>
      </c>
      <c r="B1781" s="1" t="s">
        <v>4307</v>
      </c>
      <c r="C1781" t="s">
        <v>4308</v>
      </c>
      <c r="D1781">
        <v>172.7</v>
      </c>
      <c r="E1781">
        <v>166.6</v>
      </c>
      <c r="F1781">
        <v>100</v>
      </c>
      <c r="G1781">
        <v>100</v>
      </c>
      <c r="H1781">
        <v>139.19999999999999</v>
      </c>
      <c r="I1781">
        <v>142</v>
      </c>
      <c r="J1781">
        <v>100</v>
      </c>
      <c r="K1781">
        <v>100</v>
      </c>
      <c r="L1781" s="1" t="s">
        <v>4307</v>
      </c>
      <c r="M1781" t="s">
        <v>4309</v>
      </c>
      <c r="N1781">
        <v>6</v>
      </c>
    </row>
    <row r="1782" spans="1:14" x14ac:dyDescent="0.25">
      <c r="A1782" s="3" t="str">
        <f>HYPERLINK("http://www.ncbi.nlm.nih.gov/gene/3039","3039")</f>
        <v>3039</v>
      </c>
      <c r="B1782" s="1" t="s">
        <v>4310</v>
      </c>
      <c r="C1782" t="s">
        <v>4311</v>
      </c>
      <c r="D1782">
        <v>107</v>
      </c>
      <c r="E1782">
        <v>103.6</v>
      </c>
      <c r="F1782">
        <v>100</v>
      </c>
      <c r="G1782">
        <v>99.8</v>
      </c>
      <c r="H1782">
        <v>238.3</v>
      </c>
      <c r="I1782">
        <v>244</v>
      </c>
      <c r="J1782">
        <v>100</v>
      </c>
      <c r="K1782">
        <v>100</v>
      </c>
      <c r="L1782" s="1" t="s">
        <v>4310</v>
      </c>
      <c r="M1782" t="s">
        <v>285</v>
      </c>
      <c r="N1782">
        <v>1</v>
      </c>
    </row>
    <row r="1783" spans="1:14" x14ac:dyDescent="0.25">
      <c r="A1783" s="3" t="str">
        <f>HYPERLINK("http://www.ncbi.nlm.nih.gov/gene/3040","3040")</f>
        <v>3040</v>
      </c>
      <c r="B1783" s="1" t="s">
        <v>4312</v>
      </c>
      <c r="C1783" t="s">
        <v>4313</v>
      </c>
      <c r="D1783">
        <v>98.2</v>
      </c>
      <c r="E1783">
        <v>94.1</v>
      </c>
      <c r="F1783">
        <v>98.9</v>
      </c>
      <c r="G1783">
        <v>93.1</v>
      </c>
      <c r="H1783">
        <v>193.4</v>
      </c>
      <c r="I1783">
        <v>199.4</v>
      </c>
      <c r="J1783">
        <v>100</v>
      </c>
      <c r="K1783">
        <v>100</v>
      </c>
      <c r="L1783" s="1" t="s">
        <v>4312</v>
      </c>
      <c r="M1783" t="s">
        <v>285</v>
      </c>
      <c r="N1783">
        <v>1</v>
      </c>
    </row>
    <row r="1784" spans="1:14" x14ac:dyDescent="0.25">
      <c r="A1784" s="3" t="str">
        <f>HYPERLINK("http://www.ncbi.nlm.nih.gov/gene/3043","3043")</f>
        <v>3043</v>
      </c>
      <c r="B1784" s="1" t="s">
        <v>4314</v>
      </c>
      <c r="C1784" t="s">
        <v>4315</v>
      </c>
      <c r="D1784">
        <v>147.4</v>
      </c>
      <c r="E1784">
        <v>148</v>
      </c>
      <c r="F1784">
        <v>100</v>
      </c>
      <c r="G1784">
        <v>100</v>
      </c>
      <c r="H1784">
        <v>181.5</v>
      </c>
      <c r="I1784">
        <v>186.4</v>
      </c>
      <c r="J1784">
        <v>100</v>
      </c>
      <c r="K1784">
        <v>100</v>
      </c>
      <c r="L1784" s="1" t="s">
        <v>4314</v>
      </c>
      <c r="M1784" t="s">
        <v>569</v>
      </c>
      <c r="N1784">
        <v>2</v>
      </c>
    </row>
    <row r="1785" spans="1:14" x14ac:dyDescent="0.25">
      <c r="A1785" s="3" t="str">
        <f>HYPERLINK("http://www.ncbi.nlm.nih.gov/gene/3045","3045")</f>
        <v>3045</v>
      </c>
      <c r="B1785" s="1" t="s">
        <v>4316</v>
      </c>
      <c r="D1785">
        <v>199.5</v>
      </c>
      <c r="E1785">
        <v>197.7</v>
      </c>
      <c r="F1785">
        <v>100</v>
      </c>
      <c r="G1785">
        <v>100</v>
      </c>
      <c r="H1785">
        <v>156.4</v>
      </c>
      <c r="I1785">
        <v>160.4</v>
      </c>
      <c r="J1785">
        <v>100</v>
      </c>
      <c r="K1785">
        <v>100</v>
      </c>
      <c r="L1785" s="1" t="s">
        <v>4316</v>
      </c>
      <c r="M1785" t="s">
        <v>22</v>
      </c>
      <c r="N1785">
        <v>1</v>
      </c>
    </row>
    <row r="1786" spans="1:14" x14ac:dyDescent="0.25">
      <c r="A1786" s="3" t="str">
        <f>HYPERLINK("http://www.ncbi.nlm.nih.gov/gene/3047","3047")</f>
        <v>3047</v>
      </c>
      <c r="B1786" s="1" t="s">
        <v>4317</v>
      </c>
      <c r="C1786" t="s">
        <v>4318</v>
      </c>
      <c r="D1786">
        <v>156.9</v>
      </c>
      <c r="E1786">
        <v>152.19999999999999</v>
      </c>
      <c r="F1786">
        <v>97.7</v>
      </c>
      <c r="G1786">
        <v>94.9</v>
      </c>
      <c r="H1786">
        <v>136.80000000000001</v>
      </c>
      <c r="I1786">
        <v>134.19999999999999</v>
      </c>
      <c r="J1786">
        <v>98.4</v>
      </c>
      <c r="K1786">
        <v>97</v>
      </c>
      <c r="L1786" s="1" t="s">
        <v>4317</v>
      </c>
      <c r="M1786" t="s">
        <v>285</v>
      </c>
      <c r="N1786">
        <v>1</v>
      </c>
    </row>
    <row r="1787" spans="1:14" x14ac:dyDescent="0.25">
      <c r="A1787" s="3" t="str">
        <f>HYPERLINK("http://www.ncbi.nlm.nih.gov/gene/3048","3048")</f>
        <v>3048</v>
      </c>
      <c r="B1787" s="1" t="s">
        <v>4319</v>
      </c>
      <c r="C1787" t="s">
        <v>4320</v>
      </c>
      <c r="D1787">
        <v>245</v>
      </c>
      <c r="E1787">
        <v>246.9</v>
      </c>
      <c r="F1787">
        <v>100</v>
      </c>
      <c r="G1787">
        <v>100</v>
      </c>
      <c r="H1787">
        <v>288.5</v>
      </c>
      <c r="I1787">
        <v>297.7</v>
      </c>
      <c r="J1787">
        <v>100</v>
      </c>
      <c r="K1787">
        <v>100</v>
      </c>
      <c r="L1787" s="1" t="s">
        <v>4319</v>
      </c>
      <c r="M1787" t="s">
        <v>285</v>
      </c>
      <c r="N1787">
        <v>1</v>
      </c>
    </row>
    <row r="1788" spans="1:14" x14ac:dyDescent="0.25">
      <c r="A1788" s="3" t="str">
        <f>HYPERLINK("http://www.ncbi.nlm.nih.gov/gene/3052","3052")</f>
        <v>3052</v>
      </c>
      <c r="B1788" s="1" t="s">
        <v>4321</v>
      </c>
      <c r="C1788" t="s">
        <v>4322</v>
      </c>
      <c r="D1788">
        <v>109</v>
      </c>
      <c r="E1788">
        <v>110.5</v>
      </c>
      <c r="F1788">
        <v>99.8</v>
      </c>
      <c r="G1788">
        <v>97.6</v>
      </c>
      <c r="H1788">
        <v>129.4</v>
      </c>
      <c r="I1788">
        <v>133.19999999999999</v>
      </c>
      <c r="J1788">
        <v>100</v>
      </c>
      <c r="K1788">
        <v>100</v>
      </c>
      <c r="L1788" s="1" t="s">
        <v>4321</v>
      </c>
      <c r="M1788" t="s">
        <v>4323</v>
      </c>
      <c r="N1788">
        <v>5</v>
      </c>
    </row>
    <row r="1789" spans="1:14" x14ac:dyDescent="0.25">
      <c r="A1789" s="3" t="str">
        <f>HYPERLINK("http://www.ncbi.nlm.nih.gov/gene/3054","3054")</f>
        <v>3054</v>
      </c>
      <c r="B1789" s="1" t="s">
        <v>4324</v>
      </c>
      <c r="C1789" t="s">
        <v>4325</v>
      </c>
      <c r="D1789">
        <v>94.7</v>
      </c>
      <c r="E1789">
        <v>97</v>
      </c>
      <c r="F1789">
        <v>98.3</v>
      </c>
      <c r="G1789">
        <v>93.6</v>
      </c>
      <c r="H1789">
        <v>146.9</v>
      </c>
      <c r="I1789">
        <v>149.69999999999999</v>
      </c>
      <c r="J1789">
        <v>100</v>
      </c>
      <c r="K1789">
        <v>100</v>
      </c>
      <c r="L1789" s="1" t="s">
        <v>4324</v>
      </c>
      <c r="M1789" t="s">
        <v>731</v>
      </c>
      <c r="N1789">
        <v>3</v>
      </c>
    </row>
    <row r="1790" spans="1:14" x14ac:dyDescent="0.25">
      <c r="A1790" s="3" t="str">
        <f>HYPERLINK("http://www.ncbi.nlm.nih.gov/gene/348980","348980")</f>
        <v>348980</v>
      </c>
      <c r="B1790" s="1" t="s">
        <v>4326</v>
      </c>
      <c r="C1790" t="s">
        <v>4327</v>
      </c>
      <c r="D1790">
        <v>150.9</v>
      </c>
      <c r="E1790">
        <v>151.19999999999999</v>
      </c>
      <c r="F1790">
        <v>98.5</v>
      </c>
      <c r="G1790">
        <v>98.2</v>
      </c>
      <c r="H1790">
        <v>143.6</v>
      </c>
      <c r="I1790">
        <v>145.80000000000001</v>
      </c>
      <c r="J1790">
        <v>98.5</v>
      </c>
      <c r="K1790">
        <v>98.5</v>
      </c>
      <c r="L1790" s="1" t="s">
        <v>4326</v>
      </c>
      <c r="M1790" t="s">
        <v>4328</v>
      </c>
      <c r="N1790">
        <v>4</v>
      </c>
    </row>
    <row r="1791" spans="1:14" x14ac:dyDescent="0.25">
      <c r="A1791" s="3" t="str">
        <f>HYPERLINK("http://www.ncbi.nlm.nih.gov/gene/610","610")</f>
        <v>610</v>
      </c>
      <c r="B1791" s="1" t="s">
        <v>4329</v>
      </c>
      <c r="C1791" t="s">
        <v>4330</v>
      </c>
      <c r="D1791">
        <v>37.200000000000003</v>
      </c>
      <c r="E1791">
        <v>35.700000000000003</v>
      </c>
      <c r="F1791">
        <v>59.2</v>
      </c>
      <c r="G1791">
        <v>49.5</v>
      </c>
      <c r="H1791">
        <v>108</v>
      </c>
      <c r="I1791">
        <v>98.9</v>
      </c>
      <c r="J1791">
        <v>84.1</v>
      </c>
      <c r="K1791">
        <v>77.3</v>
      </c>
      <c r="L1791" s="1" t="s">
        <v>4329</v>
      </c>
      <c r="M1791" t="s">
        <v>4331</v>
      </c>
      <c r="N1791">
        <v>3</v>
      </c>
    </row>
    <row r="1792" spans="1:14" x14ac:dyDescent="0.25">
      <c r="A1792" s="3" t="str">
        <f>HYPERLINK("http://www.ncbi.nlm.nih.gov/gene/57657","57657")</f>
        <v>57657</v>
      </c>
      <c r="B1792" s="1" t="s">
        <v>4332</v>
      </c>
      <c r="D1792">
        <v>140.69999999999999</v>
      </c>
      <c r="E1792">
        <v>147.6</v>
      </c>
      <c r="F1792">
        <v>99.9</v>
      </c>
      <c r="G1792">
        <v>98.5</v>
      </c>
      <c r="H1792">
        <v>215.1</v>
      </c>
      <c r="I1792">
        <v>221.2</v>
      </c>
      <c r="J1792">
        <v>100</v>
      </c>
      <c r="K1792">
        <v>100</v>
      </c>
      <c r="L1792" s="1" t="s">
        <v>4332</v>
      </c>
      <c r="M1792" t="s">
        <v>4331</v>
      </c>
      <c r="N1792">
        <v>3</v>
      </c>
    </row>
    <row r="1793" spans="1:14" x14ac:dyDescent="0.25">
      <c r="A1793" s="3" t="str">
        <f>HYPERLINK("http://www.ncbi.nlm.nih.gov/gene/10021","10021")</f>
        <v>10021</v>
      </c>
      <c r="B1793" s="1" t="s">
        <v>4333</v>
      </c>
      <c r="C1793" t="s">
        <v>4334</v>
      </c>
      <c r="D1793">
        <v>84</v>
      </c>
      <c r="E1793">
        <v>82.4</v>
      </c>
      <c r="F1793">
        <v>100</v>
      </c>
      <c r="G1793">
        <v>99.3</v>
      </c>
      <c r="H1793">
        <v>154.6</v>
      </c>
      <c r="I1793">
        <v>157.1</v>
      </c>
      <c r="J1793">
        <v>100</v>
      </c>
      <c r="K1793">
        <v>99.9</v>
      </c>
      <c r="L1793" s="1" t="s">
        <v>4333</v>
      </c>
      <c r="M1793" t="s">
        <v>741</v>
      </c>
      <c r="N1793">
        <v>3</v>
      </c>
    </row>
    <row r="1794" spans="1:14" x14ac:dyDescent="0.25">
      <c r="A1794" s="3" t="str">
        <f>HYPERLINK("http://www.ncbi.nlm.nih.gov/gene/3060","3060")</f>
        <v>3060</v>
      </c>
      <c r="B1794" s="1" t="s">
        <v>4335</v>
      </c>
      <c r="C1794" t="s">
        <v>4336</v>
      </c>
      <c r="D1794">
        <v>78.599999999999994</v>
      </c>
      <c r="E1794">
        <v>80.7</v>
      </c>
      <c r="F1794">
        <v>89.8</v>
      </c>
      <c r="G1794">
        <v>81.099999999999994</v>
      </c>
      <c r="H1794">
        <v>87.6</v>
      </c>
      <c r="I1794">
        <v>92.2</v>
      </c>
      <c r="J1794">
        <v>100</v>
      </c>
      <c r="K1794">
        <v>99.9</v>
      </c>
      <c r="L1794" s="1" t="s">
        <v>4335</v>
      </c>
      <c r="M1794" t="s">
        <v>285</v>
      </c>
      <c r="N1794">
        <v>1</v>
      </c>
    </row>
    <row r="1795" spans="1:14" x14ac:dyDescent="0.25">
      <c r="A1795" s="3" t="str">
        <f>HYPERLINK("http://www.ncbi.nlm.nih.gov/gene/9759","9759")</f>
        <v>9759</v>
      </c>
      <c r="B1795" s="1" t="s">
        <v>4337</v>
      </c>
      <c r="C1795" t="s">
        <v>4338</v>
      </c>
      <c r="D1795">
        <v>123.8</v>
      </c>
      <c r="E1795">
        <v>127.3</v>
      </c>
      <c r="F1795">
        <v>100</v>
      </c>
      <c r="G1795">
        <v>99.8</v>
      </c>
      <c r="H1795">
        <v>150.6</v>
      </c>
      <c r="I1795">
        <v>154.80000000000001</v>
      </c>
      <c r="J1795">
        <v>100</v>
      </c>
      <c r="K1795">
        <v>100</v>
      </c>
      <c r="L1795" s="1" t="s">
        <v>4337</v>
      </c>
      <c r="M1795" t="s">
        <v>697</v>
      </c>
      <c r="N1795">
        <v>3</v>
      </c>
    </row>
    <row r="1796" spans="1:14" x14ac:dyDescent="0.25">
      <c r="A1796" s="3" t="str">
        <f>HYPERLINK("http://www.ncbi.nlm.nih.gov/gene/10013","10013")</f>
        <v>10013</v>
      </c>
      <c r="B1796" s="1" t="s">
        <v>4339</v>
      </c>
      <c r="C1796" t="s">
        <v>4340</v>
      </c>
      <c r="D1796">
        <v>121.5</v>
      </c>
      <c r="E1796">
        <v>120.6</v>
      </c>
      <c r="F1796">
        <v>99.5</v>
      </c>
      <c r="G1796">
        <v>97.4</v>
      </c>
      <c r="H1796">
        <v>144</v>
      </c>
      <c r="I1796">
        <v>146.6</v>
      </c>
      <c r="J1796">
        <v>100</v>
      </c>
      <c r="K1796">
        <v>100</v>
      </c>
      <c r="L1796" s="1" t="s">
        <v>4339</v>
      </c>
      <c r="M1796" t="s">
        <v>728</v>
      </c>
      <c r="N1796">
        <v>2</v>
      </c>
    </row>
    <row r="1797" spans="1:14" x14ac:dyDescent="0.25">
      <c r="A1797" s="3" t="str">
        <f>HYPERLINK("http://www.ncbi.nlm.nih.gov/gene/55869","55869")</f>
        <v>55869</v>
      </c>
      <c r="B1797" s="1" t="s">
        <v>4341</v>
      </c>
      <c r="C1797" t="s">
        <v>4342</v>
      </c>
      <c r="D1797">
        <v>103.9</v>
      </c>
      <c r="E1797">
        <v>106</v>
      </c>
      <c r="F1797">
        <v>86.5</v>
      </c>
      <c r="G1797">
        <v>85.1</v>
      </c>
      <c r="H1797">
        <v>115.3</v>
      </c>
      <c r="I1797">
        <v>119.2</v>
      </c>
      <c r="J1797">
        <v>96.3</v>
      </c>
      <c r="K1797">
        <v>94.8</v>
      </c>
      <c r="L1797" s="1" t="s">
        <v>4341</v>
      </c>
      <c r="M1797" t="s">
        <v>4343</v>
      </c>
      <c r="N1797">
        <v>5</v>
      </c>
    </row>
    <row r="1798" spans="1:14" x14ac:dyDescent="0.25">
      <c r="A1798" s="3" t="str">
        <f>HYPERLINK("http://www.ncbi.nlm.nih.gov/gene/57520","57520")</f>
        <v>57520</v>
      </c>
      <c r="B1798" s="1" t="s">
        <v>4344</v>
      </c>
      <c r="C1798" t="s">
        <v>4345</v>
      </c>
      <c r="D1798">
        <v>130.80000000000001</v>
      </c>
      <c r="E1798">
        <v>130.9</v>
      </c>
      <c r="F1798">
        <v>100</v>
      </c>
      <c r="G1798">
        <v>99.1</v>
      </c>
      <c r="H1798">
        <v>144</v>
      </c>
      <c r="I1798">
        <v>144.5</v>
      </c>
      <c r="J1798">
        <v>100</v>
      </c>
      <c r="K1798">
        <v>100</v>
      </c>
      <c r="L1798" s="1" t="s">
        <v>4344</v>
      </c>
      <c r="M1798" t="s">
        <v>995</v>
      </c>
      <c r="N1798">
        <v>3</v>
      </c>
    </row>
    <row r="1799" spans="1:14" x14ac:dyDescent="0.25">
      <c r="A1799" s="3" t="str">
        <f>HYPERLINK("http://www.ncbi.nlm.nih.gov/gene/3070","3070")</f>
        <v>3070</v>
      </c>
      <c r="B1799" s="1" t="s">
        <v>4346</v>
      </c>
      <c r="C1799" t="s">
        <v>4347</v>
      </c>
      <c r="D1799">
        <v>125.5</v>
      </c>
      <c r="E1799">
        <v>131.6</v>
      </c>
      <c r="F1799">
        <v>97.8</v>
      </c>
      <c r="G1799">
        <v>92.1</v>
      </c>
      <c r="H1799">
        <v>120.1</v>
      </c>
      <c r="I1799">
        <v>123.7</v>
      </c>
      <c r="J1799">
        <v>100</v>
      </c>
      <c r="K1799">
        <v>100</v>
      </c>
      <c r="L1799" s="1" t="s">
        <v>4346</v>
      </c>
      <c r="M1799" t="s">
        <v>1097</v>
      </c>
      <c r="N1799">
        <v>3</v>
      </c>
    </row>
    <row r="1800" spans="1:14" x14ac:dyDescent="0.25">
      <c r="A1800" s="3" t="str">
        <f>HYPERLINK("http://www.ncbi.nlm.nih.gov/gene/220296","220296")</f>
        <v>220296</v>
      </c>
      <c r="B1800" s="1" t="s">
        <v>4348</v>
      </c>
      <c r="C1800" t="s">
        <v>4349</v>
      </c>
      <c r="D1800">
        <v>122.9</v>
      </c>
      <c r="E1800">
        <v>126.4</v>
      </c>
      <c r="F1800">
        <v>86</v>
      </c>
      <c r="G1800">
        <v>78.900000000000006</v>
      </c>
      <c r="H1800">
        <v>136.1</v>
      </c>
      <c r="I1800">
        <v>140</v>
      </c>
      <c r="J1800">
        <v>100</v>
      </c>
      <c r="K1800">
        <v>100</v>
      </c>
      <c r="L1800" s="1" t="s">
        <v>4348</v>
      </c>
      <c r="M1800" t="s">
        <v>4350</v>
      </c>
      <c r="N1800">
        <v>3</v>
      </c>
    </row>
    <row r="1801" spans="1:14" x14ac:dyDescent="0.25">
      <c r="A1801" s="3" t="str">
        <f>HYPERLINK("http://www.ncbi.nlm.nih.gov/gene/9843","9843")</f>
        <v>9843</v>
      </c>
      <c r="B1801" s="1" t="s">
        <v>4351</v>
      </c>
      <c r="C1801" t="s">
        <v>4352</v>
      </c>
      <c r="D1801">
        <v>74.2</v>
      </c>
      <c r="E1801">
        <v>78.400000000000006</v>
      </c>
      <c r="F1801">
        <v>98.8</v>
      </c>
      <c r="G1801">
        <v>91.9</v>
      </c>
      <c r="H1801">
        <v>127.9</v>
      </c>
      <c r="I1801">
        <v>132.5</v>
      </c>
      <c r="J1801">
        <v>100</v>
      </c>
      <c r="K1801">
        <v>100</v>
      </c>
      <c r="L1801" s="1" t="s">
        <v>4351</v>
      </c>
      <c r="M1801" t="s">
        <v>4353</v>
      </c>
      <c r="N1801">
        <v>2</v>
      </c>
    </row>
    <row r="1802" spans="1:14" x14ac:dyDescent="0.25">
      <c r="A1802" s="3" t="str">
        <f>HYPERLINK("http://www.ncbi.nlm.nih.gov/gene/341208","341208")</f>
        <v>341208</v>
      </c>
      <c r="B1802" s="1" t="s">
        <v>4354</v>
      </c>
      <c r="C1802" t="s">
        <v>4355</v>
      </c>
      <c r="D1802">
        <v>121.9</v>
      </c>
      <c r="E1802">
        <v>128</v>
      </c>
      <c r="F1802">
        <v>100</v>
      </c>
      <c r="G1802">
        <v>99.9</v>
      </c>
      <c r="H1802">
        <v>136.9</v>
      </c>
      <c r="I1802">
        <v>140.6</v>
      </c>
      <c r="J1802">
        <v>100</v>
      </c>
      <c r="K1802">
        <v>100</v>
      </c>
      <c r="L1802" s="1" t="s">
        <v>4354</v>
      </c>
      <c r="M1802" t="s">
        <v>53</v>
      </c>
      <c r="N1802">
        <v>2</v>
      </c>
    </row>
    <row r="1803" spans="1:14" x14ac:dyDescent="0.25">
      <c r="A1803" s="3" t="str">
        <f>HYPERLINK("http://www.ncbi.nlm.nih.gov/gene/8925","8925")</f>
        <v>8925</v>
      </c>
      <c r="B1803" s="1" t="s">
        <v>4356</v>
      </c>
      <c r="C1803" t="s">
        <v>4357</v>
      </c>
      <c r="D1803">
        <v>167.9</v>
      </c>
      <c r="E1803">
        <v>172.1</v>
      </c>
      <c r="F1803">
        <v>100</v>
      </c>
      <c r="G1803">
        <v>100</v>
      </c>
      <c r="H1803">
        <v>142.9</v>
      </c>
      <c r="I1803">
        <v>146.9</v>
      </c>
      <c r="J1803">
        <v>100</v>
      </c>
      <c r="K1803">
        <v>100</v>
      </c>
      <c r="L1803" s="1" t="s">
        <v>4356</v>
      </c>
      <c r="M1803" t="s">
        <v>228</v>
      </c>
      <c r="N1803">
        <v>3</v>
      </c>
    </row>
    <row r="1804" spans="1:14" x14ac:dyDescent="0.25">
      <c r="A1804" s="3" t="str">
        <f>HYPERLINK("http://www.ncbi.nlm.nih.gov/gene/8924","8924")</f>
        <v>8924</v>
      </c>
      <c r="B1804" s="1" t="s">
        <v>4358</v>
      </c>
      <c r="C1804" t="s">
        <v>4359</v>
      </c>
      <c r="D1804">
        <v>111</v>
      </c>
      <c r="E1804">
        <v>115.2</v>
      </c>
      <c r="F1804">
        <v>79.900000000000006</v>
      </c>
      <c r="G1804">
        <v>77.2</v>
      </c>
      <c r="H1804">
        <v>197.2</v>
      </c>
      <c r="I1804">
        <v>203.3</v>
      </c>
      <c r="J1804">
        <v>100</v>
      </c>
      <c r="K1804">
        <v>100</v>
      </c>
      <c r="L1804" s="1" t="s">
        <v>4358</v>
      </c>
      <c r="M1804" t="s">
        <v>612</v>
      </c>
      <c r="N1804">
        <v>4</v>
      </c>
    </row>
    <row r="1805" spans="1:14" x14ac:dyDescent="0.25">
      <c r="A1805" s="3" t="str">
        <f>HYPERLINK("http://www.ncbi.nlm.nih.gov/gene/84667","84667")</f>
        <v>84667</v>
      </c>
      <c r="B1805" s="1" t="s">
        <v>4360</v>
      </c>
      <c r="C1805" t="s">
        <v>4361</v>
      </c>
      <c r="D1805">
        <v>49.2</v>
      </c>
      <c r="E1805">
        <v>48.8</v>
      </c>
      <c r="F1805">
        <v>84.4</v>
      </c>
      <c r="G1805">
        <v>53.9</v>
      </c>
      <c r="H1805">
        <v>143.1</v>
      </c>
      <c r="I1805">
        <v>151.30000000000001</v>
      </c>
      <c r="J1805">
        <v>100</v>
      </c>
      <c r="K1805">
        <v>100</v>
      </c>
      <c r="L1805" s="1" t="s">
        <v>4360</v>
      </c>
      <c r="M1805" t="s">
        <v>1168</v>
      </c>
      <c r="N1805">
        <v>3</v>
      </c>
    </row>
    <row r="1806" spans="1:14" x14ac:dyDescent="0.25">
      <c r="A1806" s="3" t="str">
        <f>HYPERLINK("http://www.ncbi.nlm.nih.gov/gene/8820","8820")</f>
        <v>8820</v>
      </c>
      <c r="B1806" s="1" t="s">
        <v>4362</v>
      </c>
      <c r="C1806" t="s">
        <v>4363</v>
      </c>
      <c r="D1806">
        <v>74.7</v>
      </c>
      <c r="E1806">
        <v>80.5</v>
      </c>
      <c r="F1806">
        <v>99.7</v>
      </c>
      <c r="G1806">
        <v>97.3</v>
      </c>
      <c r="H1806">
        <v>131.80000000000001</v>
      </c>
      <c r="I1806">
        <v>135.5</v>
      </c>
      <c r="J1806">
        <v>100</v>
      </c>
      <c r="K1806">
        <v>100</v>
      </c>
      <c r="L1806" s="1" t="s">
        <v>4362</v>
      </c>
      <c r="M1806" t="s">
        <v>4364</v>
      </c>
      <c r="N1806">
        <v>6</v>
      </c>
    </row>
    <row r="1807" spans="1:14" x14ac:dyDescent="0.25">
      <c r="A1807" s="3" t="str">
        <f>HYPERLINK("http://www.ncbi.nlm.nih.gov/gene/3073","3073")</f>
        <v>3073</v>
      </c>
      <c r="B1807" s="1" t="s">
        <v>4365</v>
      </c>
      <c r="C1807" t="s">
        <v>4366</v>
      </c>
      <c r="D1807">
        <v>105.9</v>
      </c>
      <c r="E1807">
        <v>108.9</v>
      </c>
      <c r="F1807">
        <v>93.8</v>
      </c>
      <c r="G1807">
        <v>93.3</v>
      </c>
      <c r="H1807">
        <v>135.9</v>
      </c>
      <c r="I1807">
        <v>139.19999999999999</v>
      </c>
      <c r="J1807">
        <v>100</v>
      </c>
      <c r="K1807">
        <v>100</v>
      </c>
      <c r="L1807" s="1" t="s">
        <v>4365</v>
      </c>
      <c r="M1807" t="s">
        <v>38</v>
      </c>
      <c r="N1807">
        <v>4</v>
      </c>
    </row>
    <row r="1808" spans="1:14" x14ac:dyDescent="0.25">
      <c r="A1808" s="3" t="str">
        <f>HYPERLINK("http://www.ncbi.nlm.nih.gov/gene/3074","3074")</f>
        <v>3074</v>
      </c>
      <c r="B1808" s="1" t="s">
        <v>4367</v>
      </c>
      <c r="C1808" t="s">
        <v>4368</v>
      </c>
      <c r="D1808">
        <v>178.1</v>
      </c>
      <c r="E1808">
        <v>187.8</v>
      </c>
      <c r="F1808">
        <v>99.6</v>
      </c>
      <c r="G1808">
        <v>96.9</v>
      </c>
      <c r="H1808">
        <v>135.6</v>
      </c>
      <c r="I1808">
        <v>139.69999999999999</v>
      </c>
      <c r="J1808">
        <v>100</v>
      </c>
      <c r="K1808">
        <v>99.9</v>
      </c>
      <c r="L1808" s="1" t="s">
        <v>4367</v>
      </c>
      <c r="M1808" t="s">
        <v>703</v>
      </c>
      <c r="N1808">
        <v>5</v>
      </c>
    </row>
    <row r="1809" spans="1:14" x14ac:dyDescent="0.25">
      <c r="A1809" s="3" t="str">
        <f>HYPERLINK("http://www.ncbi.nlm.nih.gov/gene/23493","23493")</f>
        <v>23493</v>
      </c>
      <c r="B1809" s="1" t="s">
        <v>4369</v>
      </c>
      <c r="C1809" t="s">
        <v>4370</v>
      </c>
      <c r="D1809">
        <v>179.5</v>
      </c>
      <c r="E1809">
        <v>187.8</v>
      </c>
      <c r="F1809">
        <v>100</v>
      </c>
      <c r="G1809">
        <v>99.3</v>
      </c>
      <c r="H1809">
        <v>170.2</v>
      </c>
      <c r="I1809">
        <v>174.4</v>
      </c>
      <c r="J1809">
        <v>100</v>
      </c>
      <c r="K1809">
        <v>100</v>
      </c>
      <c r="L1809" s="1" t="s">
        <v>4369</v>
      </c>
      <c r="M1809" t="s">
        <v>4371</v>
      </c>
      <c r="N1809">
        <v>4</v>
      </c>
    </row>
    <row r="1810" spans="1:14" x14ac:dyDescent="0.25">
      <c r="A1810" s="3" t="str">
        <f>HYPERLINK("http://www.ncbi.nlm.nih.gov/gene/3077","3077")</f>
        <v>3077</v>
      </c>
      <c r="B1810" s="1" t="s">
        <v>4372</v>
      </c>
      <c r="C1810" t="s">
        <v>4373</v>
      </c>
      <c r="D1810">
        <v>117.9</v>
      </c>
      <c r="E1810">
        <v>127.9</v>
      </c>
      <c r="F1810">
        <v>100</v>
      </c>
      <c r="G1810">
        <v>99.7</v>
      </c>
      <c r="H1810">
        <v>134</v>
      </c>
      <c r="I1810">
        <v>138.1</v>
      </c>
      <c r="J1810">
        <v>100</v>
      </c>
      <c r="K1810">
        <v>100</v>
      </c>
      <c r="L1810" s="1" t="s">
        <v>4372</v>
      </c>
      <c r="M1810" t="s">
        <v>4374</v>
      </c>
      <c r="N1810">
        <v>5</v>
      </c>
    </row>
    <row r="1811" spans="1:14" x14ac:dyDescent="0.25">
      <c r="A1811" s="3" t="str">
        <f>HYPERLINK("http://www.ncbi.nlm.nih.gov/gene/164045","164045")</f>
        <v>164045</v>
      </c>
      <c r="B1811" s="1" t="s">
        <v>4375</v>
      </c>
      <c r="C1811" t="s">
        <v>4376</v>
      </c>
      <c r="D1811">
        <v>59.4</v>
      </c>
      <c r="E1811">
        <v>60.8</v>
      </c>
      <c r="F1811">
        <v>96.3</v>
      </c>
      <c r="G1811">
        <v>89.6</v>
      </c>
      <c r="H1811">
        <v>116.8</v>
      </c>
      <c r="I1811">
        <v>119.7</v>
      </c>
      <c r="J1811">
        <v>100</v>
      </c>
      <c r="K1811">
        <v>100</v>
      </c>
      <c r="L1811" s="1" t="s">
        <v>4375</v>
      </c>
      <c r="M1811" t="s">
        <v>1472</v>
      </c>
      <c r="N1811">
        <v>3</v>
      </c>
    </row>
    <row r="1812" spans="1:14" x14ac:dyDescent="0.25">
      <c r="A1812" s="3" t="str">
        <f>HYPERLINK("http://www.ncbi.nlm.nih.gov/gene/3081","3081")</f>
        <v>3081</v>
      </c>
      <c r="B1812" s="1" t="s">
        <v>4377</v>
      </c>
      <c r="C1812" t="s">
        <v>4378</v>
      </c>
      <c r="D1812">
        <v>114.9</v>
      </c>
      <c r="E1812">
        <v>119.5</v>
      </c>
      <c r="F1812">
        <v>100</v>
      </c>
      <c r="G1812">
        <v>100</v>
      </c>
      <c r="H1812">
        <v>133</v>
      </c>
      <c r="I1812">
        <v>135.5</v>
      </c>
      <c r="J1812">
        <v>100</v>
      </c>
      <c r="K1812">
        <v>100</v>
      </c>
      <c r="L1812" s="1" t="s">
        <v>4377</v>
      </c>
      <c r="M1812" t="s">
        <v>116</v>
      </c>
      <c r="N1812">
        <v>3</v>
      </c>
    </row>
    <row r="1813" spans="1:14" x14ac:dyDescent="0.25">
      <c r="A1813" s="3" t="str">
        <f>HYPERLINK("http://www.ncbi.nlm.nih.gov/gene/3082","3082")</f>
        <v>3082</v>
      </c>
      <c r="B1813" s="1" t="s">
        <v>4379</v>
      </c>
      <c r="C1813" t="s">
        <v>4380</v>
      </c>
      <c r="D1813">
        <v>162.9</v>
      </c>
      <c r="E1813">
        <v>168.8</v>
      </c>
      <c r="F1813">
        <v>100</v>
      </c>
      <c r="G1813">
        <v>99.4</v>
      </c>
      <c r="H1813">
        <v>155.5</v>
      </c>
      <c r="I1813">
        <v>160</v>
      </c>
      <c r="J1813">
        <v>100</v>
      </c>
      <c r="K1813">
        <v>100</v>
      </c>
      <c r="L1813" s="1" t="s">
        <v>4379</v>
      </c>
      <c r="M1813" t="s">
        <v>269</v>
      </c>
      <c r="N1813">
        <v>3</v>
      </c>
    </row>
    <row r="1814" spans="1:14" x14ac:dyDescent="0.25">
      <c r="A1814" s="3" t="str">
        <f>HYPERLINK("http://www.ncbi.nlm.nih.gov/gene/138050","138050")</f>
        <v>138050</v>
      </c>
      <c r="B1814" s="1" t="s">
        <v>4381</v>
      </c>
      <c r="C1814" t="s">
        <v>4382</v>
      </c>
      <c r="D1814">
        <v>121.6</v>
      </c>
      <c r="E1814">
        <v>125.5</v>
      </c>
      <c r="F1814">
        <v>86.4</v>
      </c>
      <c r="G1814">
        <v>86.3</v>
      </c>
      <c r="H1814">
        <v>115.1</v>
      </c>
      <c r="I1814">
        <v>118.1</v>
      </c>
      <c r="J1814">
        <v>91.2</v>
      </c>
      <c r="K1814">
        <v>89.3</v>
      </c>
      <c r="L1814" s="1" t="s">
        <v>4381</v>
      </c>
      <c r="M1814" t="s">
        <v>4097</v>
      </c>
      <c r="N1814">
        <v>6</v>
      </c>
    </row>
    <row r="1815" spans="1:14" x14ac:dyDescent="0.25">
      <c r="A1815" s="3" t="str">
        <f>HYPERLINK("http://www.ncbi.nlm.nih.gov/gene/11112","11112")</f>
        <v>11112</v>
      </c>
      <c r="B1815" s="1" t="s">
        <v>4383</v>
      </c>
      <c r="C1815" t="s">
        <v>4384</v>
      </c>
      <c r="D1815">
        <v>127.1</v>
      </c>
      <c r="E1815">
        <v>130.6</v>
      </c>
      <c r="F1815">
        <v>94.4</v>
      </c>
      <c r="G1815">
        <v>91.2</v>
      </c>
      <c r="H1815">
        <v>137.30000000000001</v>
      </c>
      <c r="I1815">
        <v>140.80000000000001</v>
      </c>
      <c r="J1815">
        <v>100</v>
      </c>
      <c r="K1815">
        <v>100</v>
      </c>
      <c r="L1815" s="1" t="s">
        <v>4383</v>
      </c>
      <c r="M1815" t="s">
        <v>93</v>
      </c>
      <c r="N1815">
        <v>2</v>
      </c>
    </row>
    <row r="1816" spans="1:14" x14ac:dyDescent="0.25">
      <c r="A1816" s="3" t="str">
        <f>HYPERLINK("http://www.ncbi.nlm.nih.gov/gene/26275","26275")</f>
        <v>26275</v>
      </c>
      <c r="B1816" s="1" t="s">
        <v>4385</v>
      </c>
      <c r="C1816" t="s">
        <v>4386</v>
      </c>
      <c r="D1816">
        <v>81.900000000000006</v>
      </c>
      <c r="E1816">
        <v>83.8</v>
      </c>
      <c r="F1816">
        <v>98.2</v>
      </c>
      <c r="G1816">
        <v>88.5</v>
      </c>
      <c r="H1816">
        <v>129.5</v>
      </c>
      <c r="I1816">
        <v>132.1</v>
      </c>
      <c r="J1816">
        <v>100</v>
      </c>
      <c r="K1816">
        <v>100</v>
      </c>
      <c r="L1816" s="1" t="s">
        <v>4385</v>
      </c>
      <c r="M1816" t="s">
        <v>1330</v>
      </c>
      <c r="N1816">
        <v>5</v>
      </c>
    </row>
    <row r="1817" spans="1:14" x14ac:dyDescent="0.25">
      <c r="A1817" s="3" t="str">
        <f>HYPERLINK("http://www.ncbi.nlm.nih.gov/gene/51501","51501")</f>
        <v>51501</v>
      </c>
      <c r="B1817" s="1" t="s">
        <v>4387</v>
      </c>
      <c r="C1817" t="s">
        <v>4388</v>
      </c>
      <c r="D1817">
        <v>65.599999999999994</v>
      </c>
      <c r="E1817">
        <v>64.900000000000006</v>
      </c>
      <c r="F1817">
        <v>98.2</v>
      </c>
      <c r="G1817">
        <v>90.4</v>
      </c>
      <c r="H1817">
        <v>136.4</v>
      </c>
      <c r="I1817">
        <v>139.9</v>
      </c>
      <c r="J1817">
        <v>100</v>
      </c>
      <c r="K1817">
        <v>100</v>
      </c>
      <c r="L1817" s="1" t="s">
        <v>4387</v>
      </c>
      <c r="M1817" t="s">
        <v>53</v>
      </c>
      <c r="N1817">
        <v>2</v>
      </c>
    </row>
    <row r="1818" spans="1:14" x14ac:dyDescent="0.25">
      <c r="A1818" s="3" t="str">
        <f>HYPERLINK("http://www.ncbi.nlm.nih.gov/gene/3094","3094")</f>
        <v>3094</v>
      </c>
      <c r="B1818" s="1" t="s">
        <v>4389</v>
      </c>
      <c r="C1818" t="s">
        <v>4390</v>
      </c>
      <c r="D1818">
        <v>64</v>
      </c>
      <c r="E1818">
        <v>62.4</v>
      </c>
      <c r="F1818">
        <v>98.3</v>
      </c>
      <c r="G1818">
        <v>89.3</v>
      </c>
      <c r="H1818">
        <v>158.80000000000001</v>
      </c>
      <c r="I1818">
        <v>163.19999999999999</v>
      </c>
      <c r="J1818">
        <v>100</v>
      </c>
      <c r="K1818">
        <v>100</v>
      </c>
      <c r="L1818" s="1" t="s">
        <v>4389</v>
      </c>
      <c r="M1818" t="s">
        <v>44</v>
      </c>
      <c r="N1818">
        <v>3</v>
      </c>
    </row>
    <row r="1819" spans="1:14" x14ac:dyDescent="0.25">
      <c r="A1819" s="3" t="str">
        <f>HYPERLINK("http://www.ncbi.nlm.nih.gov/gene/3097","3097")</f>
        <v>3097</v>
      </c>
      <c r="B1819" s="1" t="s">
        <v>4391</v>
      </c>
      <c r="C1819" t="s">
        <v>4392</v>
      </c>
      <c r="D1819">
        <v>199.8</v>
      </c>
      <c r="E1819">
        <v>189.8</v>
      </c>
      <c r="F1819">
        <v>100</v>
      </c>
      <c r="G1819">
        <v>100</v>
      </c>
      <c r="H1819">
        <v>156.19999999999999</v>
      </c>
      <c r="I1819">
        <v>156.19999999999999</v>
      </c>
      <c r="J1819">
        <v>100</v>
      </c>
      <c r="K1819">
        <v>100</v>
      </c>
      <c r="L1819" s="1" t="s">
        <v>4391</v>
      </c>
      <c r="M1819" t="s">
        <v>189</v>
      </c>
      <c r="N1819">
        <v>2</v>
      </c>
    </row>
    <row r="1820" spans="1:14" x14ac:dyDescent="0.25">
      <c r="A1820" s="3" t="str">
        <f>HYPERLINK("http://www.ncbi.nlm.nih.gov/gene/148738","148738")</f>
        <v>148738</v>
      </c>
      <c r="B1820" s="1" t="s">
        <v>4393</v>
      </c>
      <c r="C1820" t="s">
        <v>4394</v>
      </c>
      <c r="D1820">
        <v>157</v>
      </c>
      <c r="E1820">
        <v>156.1</v>
      </c>
      <c r="F1820">
        <v>100</v>
      </c>
      <c r="G1820">
        <v>100</v>
      </c>
      <c r="H1820">
        <v>158</v>
      </c>
      <c r="I1820">
        <v>159.4</v>
      </c>
      <c r="J1820">
        <v>100</v>
      </c>
      <c r="K1820">
        <v>100</v>
      </c>
      <c r="L1820" s="1" t="s">
        <v>4393</v>
      </c>
      <c r="M1820" t="s">
        <v>4395</v>
      </c>
      <c r="N1820">
        <v>4</v>
      </c>
    </row>
    <row r="1821" spans="1:14" x14ac:dyDescent="0.25">
      <c r="A1821" s="3" t="str">
        <f>HYPERLINK("http://www.ncbi.nlm.nih.gov/gene/3098","3098")</f>
        <v>3098</v>
      </c>
      <c r="B1821" s="1" t="s">
        <v>4396</v>
      </c>
      <c r="C1821" t="s">
        <v>4397</v>
      </c>
      <c r="D1821">
        <v>135.69999999999999</v>
      </c>
      <c r="E1821">
        <v>140.19999999999999</v>
      </c>
      <c r="F1821">
        <v>100</v>
      </c>
      <c r="G1821">
        <v>100</v>
      </c>
      <c r="H1821">
        <v>144.30000000000001</v>
      </c>
      <c r="I1821">
        <v>148.4</v>
      </c>
      <c r="J1821">
        <v>100</v>
      </c>
      <c r="K1821">
        <v>100</v>
      </c>
      <c r="L1821" s="1" t="s">
        <v>4396</v>
      </c>
      <c r="M1821" t="s">
        <v>4398</v>
      </c>
      <c r="N1821">
        <v>7</v>
      </c>
    </row>
    <row r="1822" spans="1:14" x14ac:dyDescent="0.25">
      <c r="A1822" s="3" t="str">
        <f>HYPERLINK("http://www.ncbi.nlm.nih.gov/gene/3141","3141")</f>
        <v>3141</v>
      </c>
      <c r="B1822" s="1" t="s">
        <v>4399</v>
      </c>
      <c r="C1822" t="s">
        <v>4400</v>
      </c>
      <c r="D1822">
        <v>175.9</v>
      </c>
      <c r="E1822">
        <v>179.3</v>
      </c>
      <c r="F1822">
        <v>100</v>
      </c>
      <c r="G1822">
        <v>100</v>
      </c>
      <c r="H1822">
        <v>155.4</v>
      </c>
      <c r="I1822">
        <v>158.30000000000001</v>
      </c>
      <c r="J1822">
        <v>100</v>
      </c>
      <c r="K1822">
        <v>100</v>
      </c>
      <c r="L1822" s="1" t="s">
        <v>4399</v>
      </c>
      <c r="M1822" t="s">
        <v>4401</v>
      </c>
      <c r="N1822">
        <v>7</v>
      </c>
    </row>
    <row r="1823" spans="1:14" x14ac:dyDescent="0.25">
      <c r="A1823" s="3" t="str">
        <f>HYPERLINK("http://www.ncbi.nlm.nih.gov/gene/3145","3145")</f>
        <v>3145</v>
      </c>
      <c r="B1823" s="1" t="s">
        <v>4402</v>
      </c>
      <c r="C1823" t="s">
        <v>4403</v>
      </c>
      <c r="D1823">
        <v>100.7</v>
      </c>
      <c r="E1823">
        <v>103.3</v>
      </c>
      <c r="F1823">
        <v>99.9</v>
      </c>
      <c r="G1823">
        <v>99.4</v>
      </c>
      <c r="H1823">
        <v>123.9</v>
      </c>
      <c r="I1823">
        <v>126.2</v>
      </c>
      <c r="J1823">
        <v>100</v>
      </c>
      <c r="K1823">
        <v>100</v>
      </c>
      <c r="L1823" s="1" t="s">
        <v>4402</v>
      </c>
      <c r="M1823" t="s">
        <v>4404</v>
      </c>
      <c r="N1823">
        <v>4</v>
      </c>
    </row>
    <row r="1824" spans="1:14" x14ac:dyDescent="0.25">
      <c r="A1824" s="3" t="str">
        <f>HYPERLINK("http://www.ncbi.nlm.nih.gov/gene/8091","8091")</f>
        <v>8091</v>
      </c>
      <c r="B1824" s="1" t="s">
        <v>4405</v>
      </c>
      <c r="C1824" t="s">
        <v>4406</v>
      </c>
      <c r="D1824">
        <v>94.4</v>
      </c>
      <c r="E1824">
        <v>93.7</v>
      </c>
      <c r="F1824">
        <v>81.3</v>
      </c>
      <c r="G1824">
        <v>76.7</v>
      </c>
      <c r="H1824">
        <v>87.7</v>
      </c>
      <c r="I1824">
        <v>88.5</v>
      </c>
      <c r="J1824">
        <v>75.099999999999994</v>
      </c>
      <c r="K1824">
        <v>73.8</v>
      </c>
      <c r="L1824" s="1" t="s">
        <v>4405</v>
      </c>
      <c r="M1824" t="s">
        <v>1253</v>
      </c>
      <c r="N1824">
        <v>2</v>
      </c>
    </row>
    <row r="1825" spans="1:14" x14ac:dyDescent="0.25">
      <c r="A1825" s="3" t="str">
        <f>HYPERLINK("http://www.ncbi.nlm.nih.gov/gene/3149","3149")</f>
        <v>3149</v>
      </c>
      <c r="B1825" s="1" t="s">
        <v>4407</v>
      </c>
      <c r="C1825" t="s">
        <v>4408</v>
      </c>
      <c r="D1825">
        <v>48.2</v>
      </c>
      <c r="E1825">
        <v>46.6</v>
      </c>
      <c r="F1825">
        <v>78.599999999999994</v>
      </c>
      <c r="G1825">
        <v>67.2</v>
      </c>
      <c r="H1825">
        <v>118.1</v>
      </c>
      <c r="I1825">
        <v>121.9</v>
      </c>
      <c r="J1825">
        <v>100</v>
      </c>
      <c r="K1825">
        <v>100</v>
      </c>
      <c r="L1825" s="1" t="s">
        <v>4407</v>
      </c>
      <c r="M1825" t="s">
        <v>4409</v>
      </c>
      <c r="N1825">
        <v>2</v>
      </c>
    </row>
    <row r="1826" spans="1:14" x14ac:dyDescent="0.25">
      <c r="A1826" s="3" t="str">
        <f>HYPERLINK("http://www.ncbi.nlm.nih.gov/gene/3155","3155")</f>
        <v>3155</v>
      </c>
      <c r="B1826" s="1" t="s">
        <v>4410</v>
      </c>
      <c r="C1826" t="s">
        <v>4411</v>
      </c>
      <c r="D1826">
        <v>126</v>
      </c>
      <c r="E1826">
        <v>129.1</v>
      </c>
      <c r="F1826">
        <v>100</v>
      </c>
      <c r="G1826">
        <v>99.8</v>
      </c>
      <c r="H1826">
        <v>135.1</v>
      </c>
      <c r="I1826">
        <v>138.4</v>
      </c>
      <c r="J1826">
        <v>100</v>
      </c>
      <c r="K1826">
        <v>100</v>
      </c>
      <c r="L1826" s="1" t="s">
        <v>4410</v>
      </c>
      <c r="M1826" t="s">
        <v>38</v>
      </c>
      <c r="N1826">
        <v>4</v>
      </c>
    </row>
    <row r="1827" spans="1:14" x14ac:dyDescent="0.25">
      <c r="A1827" s="3" t="str">
        <f>HYPERLINK("http://www.ncbi.nlm.nih.gov/gene/3158","3158")</f>
        <v>3158</v>
      </c>
      <c r="B1827" s="1" t="s">
        <v>4412</v>
      </c>
      <c r="D1827">
        <v>116.1</v>
      </c>
      <c r="E1827">
        <v>122.6</v>
      </c>
      <c r="F1827">
        <v>100</v>
      </c>
      <c r="G1827">
        <v>99.6</v>
      </c>
      <c r="H1827">
        <v>135.1</v>
      </c>
      <c r="I1827">
        <v>138.4</v>
      </c>
      <c r="J1827">
        <v>100</v>
      </c>
      <c r="K1827">
        <v>100</v>
      </c>
      <c r="L1827" s="1" t="s">
        <v>4412</v>
      </c>
      <c r="M1827" t="s">
        <v>116</v>
      </c>
      <c r="N1827">
        <v>3</v>
      </c>
    </row>
    <row r="1828" spans="1:14" x14ac:dyDescent="0.25">
      <c r="A1828" s="3" t="str">
        <f>HYPERLINK("http://www.ncbi.nlm.nih.gov/gene/3162","3162")</f>
        <v>3162</v>
      </c>
      <c r="B1828" s="1" t="s">
        <v>4413</v>
      </c>
      <c r="C1828" t="s">
        <v>4414</v>
      </c>
      <c r="D1828">
        <v>146.6</v>
      </c>
      <c r="E1828">
        <v>137.4</v>
      </c>
      <c r="F1828">
        <v>98.4</v>
      </c>
      <c r="G1828">
        <v>89.9</v>
      </c>
      <c r="H1828">
        <v>134.5</v>
      </c>
      <c r="I1828">
        <v>137</v>
      </c>
      <c r="J1828">
        <v>100</v>
      </c>
      <c r="K1828">
        <v>100</v>
      </c>
      <c r="L1828" s="1" t="s">
        <v>4413</v>
      </c>
      <c r="M1828" t="s">
        <v>4415</v>
      </c>
      <c r="N1828">
        <v>6</v>
      </c>
    </row>
    <row r="1829" spans="1:14" x14ac:dyDescent="0.25">
      <c r="A1829" s="3" t="str">
        <f>HYPERLINK("http://www.ncbi.nlm.nih.gov/gene/3166","3166")</f>
        <v>3166</v>
      </c>
      <c r="B1829" s="1" t="s">
        <v>4416</v>
      </c>
      <c r="C1829" t="s">
        <v>4417</v>
      </c>
      <c r="D1829">
        <v>23.9</v>
      </c>
      <c r="E1829">
        <v>22.5</v>
      </c>
      <c r="F1829">
        <v>62.4</v>
      </c>
      <c r="G1829">
        <v>42.9</v>
      </c>
      <c r="H1829">
        <v>96.1</v>
      </c>
      <c r="I1829">
        <v>97.3</v>
      </c>
      <c r="J1829">
        <v>99.7</v>
      </c>
      <c r="K1829">
        <v>96.1</v>
      </c>
      <c r="L1829" s="1" t="s">
        <v>4416</v>
      </c>
      <c r="M1829" t="s">
        <v>56</v>
      </c>
      <c r="N1829">
        <v>3</v>
      </c>
    </row>
    <row r="1830" spans="1:14" x14ac:dyDescent="0.25">
      <c r="A1830" s="3" t="str">
        <f>HYPERLINK("http://www.ncbi.nlm.nih.gov/gene/6927","6927")</f>
        <v>6927</v>
      </c>
      <c r="B1830" s="1" t="s">
        <v>4418</v>
      </c>
      <c r="C1830" t="s">
        <v>4419</v>
      </c>
      <c r="D1830">
        <v>161.69999999999999</v>
      </c>
      <c r="E1830">
        <v>171.3</v>
      </c>
      <c r="F1830">
        <v>100</v>
      </c>
      <c r="G1830">
        <v>99.8</v>
      </c>
      <c r="H1830">
        <v>175.9</v>
      </c>
      <c r="I1830">
        <v>180.7</v>
      </c>
      <c r="J1830">
        <v>100</v>
      </c>
      <c r="K1830">
        <v>100</v>
      </c>
      <c r="L1830" s="1" t="s">
        <v>4418</v>
      </c>
      <c r="M1830" t="s">
        <v>4420</v>
      </c>
      <c r="N1830">
        <v>3</v>
      </c>
    </row>
    <row r="1831" spans="1:14" x14ac:dyDescent="0.25">
      <c r="A1831" s="3" t="str">
        <f>HYPERLINK("http://www.ncbi.nlm.nih.gov/gene/6928","6928")</f>
        <v>6928</v>
      </c>
      <c r="B1831" s="1" t="s">
        <v>4421</v>
      </c>
      <c r="C1831" t="s">
        <v>4422</v>
      </c>
      <c r="D1831">
        <v>129.9</v>
      </c>
      <c r="E1831">
        <v>133.80000000000001</v>
      </c>
      <c r="F1831">
        <v>99.3</v>
      </c>
      <c r="G1831">
        <v>96.1</v>
      </c>
      <c r="H1831">
        <v>189.9</v>
      </c>
      <c r="I1831">
        <v>198.3</v>
      </c>
      <c r="J1831">
        <v>100</v>
      </c>
      <c r="K1831">
        <v>100</v>
      </c>
      <c r="L1831" s="1" t="s">
        <v>4421</v>
      </c>
      <c r="M1831" t="s">
        <v>2797</v>
      </c>
      <c r="N1831">
        <v>3</v>
      </c>
    </row>
    <row r="1832" spans="1:14" x14ac:dyDescent="0.25">
      <c r="A1832" s="3" t="str">
        <f>HYPERLINK("http://www.ncbi.nlm.nih.gov/gene/3172","3172")</f>
        <v>3172</v>
      </c>
      <c r="B1832" s="1" t="s">
        <v>4423</v>
      </c>
      <c r="C1832" t="s">
        <v>4424</v>
      </c>
      <c r="D1832">
        <v>137.4</v>
      </c>
      <c r="E1832">
        <v>143</v>
      </c>
      <c r="F1832">
        <v>99.9</v>
      </c>
      <c r="G1832">
        <v>99</v>
      </c>
      <c r="H1832">
        <v>144.30000000000001</v>
      </c>
      <c r="I1832">
        <v>147.80000000000001</v>
      </c>
      <c r="J1832">
        <v>100</v>
      </c>
      <c r="K1832">
        <v>100</v>
      </c>
      <c r="L1832" s="1" t="s">
        <v>4423</v>
      </c>
      <c r="M1832" t="s">
        <v>4425</v>
      </c>
      <c r="N1832">
        <v>3</v>
      </c>
    </row>
    <row r="1833" spans="1:14" x14ac:dyDescent="0.25">
      <c r="A1833" s="3" t="str">
        <f>HYPERLINK("http://www.ncbi.nlm.nih.gov/gene/3176","3176")</f>
        <v>3176</v>
      </c>
      <c r="B1833" s="1" t="s">
        <v>4426</v>
      </c>
      <c r="C1833" t="s">
        <v>4427</v>
      </c>
      <c r="D1833">
        <v>174.4</v>
      </c>
      <c r="E1833">
        <v>176.7</v>
      </c>
      <c r="F1833">
        <v>100</v>
      </c>
      <c r="G1833">
        <v>99.8</v>
      </c>
      <c r="H1833">
        <v>143.6</v>
      </c>
      <c r="I1833">
        <v>147.19999999999999</v>
      </c>
      <c r="J1833">
        <v>100</v>
      </c>
      <c r="K1833">
        <v>100</v>
      </c>
      <c r="L1833" s="1" t="s">
        <v>4426</v>
      </c>
      <c r="M1833" t="s">
        <v>228</v>
      </c>
      <c r="N1833">
        <v>3</v>
      </c>
    </row>
    <row r="1834" spans="1:14" x14ac:dyDescent="0.25">
      <c r="A1834" s="3" t="str">
        <f>HYPERLINK("http://www.ncbi.nlm.nih.gov/gene/3178","3178")</f>
        <v>3178</v>
      </c>
      <c r="B1834" s="1" t="s">
        <v>4428</v>
      </c>
      <c r="C1834" t="s">
        <v>4429</v>
      </c>
      <c r="D1834">
        <v>79.5</v>
      </c>
      <c r="E1834">
        <v>76.3</v>
      </c>
      <c r="F1834">
        <v>98.8</v>
      </c>
      <c r="G1834">
        <v>90</v>
      </c>
      <c r="H1834">
        <v>140.6</v>
      </c>
      <c r="I1834">
        <v>143.9</v>
      </c>
      <c r="J1834">
        <v>100</v>
      </c>
      <c r="K1834">
        <v>100</v>
      </c>
      <c r="L1834" s="1" t="s">
        <v>4428</v>
      </c>
      <c r="M1834" t="s">
        <v>285</v>
      </c>
      <c r="N1834">
        <v>1</v>
      </c>
    </row>
    <row r="1835" spans="1:14" x14ac:dyDescent="0.25">
      <c r="A1835" s="3" t="str">
        <f>HYPERLINK("http://www.ncbi.nlm.nih.gov/gene/3181","3181")</f>
        <v>3181</v>
      </c>
      <c r="B1835" s="1" t="s">
        <v>4430</v>
      </c>
      <c r="C1835" t="s">
        <v>4431</v>
      </c>
      <c r="D1835">
        <v>169.9</v>
      </c>
      <c r="E1835">
        <v>173.5</v>
      </c>
      <c r="F1835">
        <v>99.9</v>
      </c>
      <c r="G1835">
        <v>99.4</v>
      </c>
      <c r="H1835">
        <v>142.19999999999999</v>
      </c>
      <c r="I1835">
        <v>145.5</v>
      </c>
      <c r="J1835">
        <v>100</v>
      </c>
      <c r="K1835">
        <v>100</v>
      </c>
      <c r="L1835" s="1" t="s">
        <v>4430</v>
      </c>
      <c r="M1835" t="s">
        <v>22</v>
      </c>
      <c r="N1835">
        <v>1</v>
      </c>
    </row>
    <row r="1836" spans="1:14" x14ac:dyDescent="0.25">
      <c r="A1836" s="3" t="str">
        <f>HYPERLINK("http://www.ncbi.nlm.nih.gov/gene/9987","9987")</f>
        <v>9987</v>
      </c>
      <c r="B1836" s="1" t="s">
        <v>4432</v>
      </c>
      <c r="C1836" t="s">
        <v>4433</v>
      </c>
      <c r="D1836">
        <v>103.4</v>
      </c>
      <c r="E1836">
        <v>101.3</v>
      </c>
      <c r="F1836">
        <v>97.3</v>
      </c>
      <c r="G1836">
        <v>88.4</v>
      </c>
      <c r="H1836">
        <v>137.9</v>
      </c>
      <c r="I1836">
        <v>140.9</v>
      </c>
      <c r="J1836">
        <v>100</v>
      </c>
      <c r="K1836">
        <v>100</v>
      </c>
      <c r="L1836" s="1" t="s">
        <v>4432</v>
      </c>
      <c r="M1836" t="s">
        <v>285</v>
      </c>
      <c r="N1836">
        <v>1</v>
      </c>
    </row>
    <row r="1837" spans="1:14" x14ac:dyDescent="0.25">
      <c r="A1837" s="3" t="str">
        <f>HYPERLINK("http://www.ncbi.nlm.nih.gov/gene/3187","3187")</f>
        <v>3187</v>
      </c>
      <c r="B1837" s="1" t="s">
        <v>4434</v>
      </c>
      <c r="C1837" t="s">
        <v>4435</v>
      </c>
      <c r="D1837">
        <v>123.1</v>
      </c>
      <c r="E1837">
        <v>126.9</v>
      </c>
      <c r="F1837">
        <v>99.4</v>
      </c>
      <c r="G1837">
        <v>96.2</v>
      </c>
      <c r="H1837">
        <v>156.1</v>
      </c>
      <c r="I1837">
        <v>159.9</v>
      </c>
      <c r="J1837">
        <v>100</v>
      </c>
      <c r="K1837">
        <v>100</v>
      </c>
      <c r="L1837" s="1" t="s">
        <v>4434</v>
      </c>
      <c r="M1837" t="s">
        <v>189</v>
      </c>
      <c r="N1837">
        <v>2</v>
      </c>
    </row>
    <row r="1838" spans="1:14" x14ac:dyDescent="0.25">
      <c r="A1838" s="3" t="str">
        <f>HYPERLINK("http://www.ncbi.nlm.nih.gov/gene/3188","3188")</f>
        <v>3188</v>
      </c>
      <c r="B1838" s="1" t="s">
        <v>4436</v>
      </c>
      <c r="C1838" t="s">
        <v>4437</v>
      </c>
      <c r="D1838">
        <v>150.69999999999999</v>
      </c>
      <c r="E1838">
        <v>145.6</v>
      </c>
      <c r="F1838">
        <v>100</v>
      </c>
      <c r="G1838">
        <v>100</v>
      </c>
      <c r="H1838">
        <v>168</v>
      </c>
      <c r="I1838">
        <v>170</v>
      </c>
      <c r="J1838">
        <v>100</v>
      </c>
      <c r="K1838">
        <v>100</v>
      </c>
      <c r="L1838" s="1" t="s">
        <v>4436</v>
      </c>
      <c r="M1838" t="s">
        <v>728</v>
      </c>
      <c r="N1838">
        <v>2</v>
      </c>
    </row>
    <row r="1839" spans="1:14" x14ac:dyDescent="0.25">
      <c r="A1839" s="3" t="str">
        <f>HYPERLINK("http://www.ncbi.nlm.nih.gov/gene/3190","3190")</f>
        <v>3190</v>
      </c>
      <c r="B1839" s="1" t="s">
        <v>4438</v>
      </c>
      <c r="C1839" t="s">
        <v>4439</v>
      </c>
      <c r="D1839">
        <v>74.400000000000006</v>
      </c>
      <c r="E1839">
        <v>77.099999999999994</v>
      </c>
      <c r="F1839">
        <v>91.5</v>
      </c>
      <c r="G1839">
        <v>82.8</v>
      </c>
      <c r="H1839">
        <v>132.4</v>
      </c>
      <c r="I1839">
        <v>135</v>
      </c>
      <c r="J1839">
        <v>100</v>
      </c>
      <c r="K1839">
        <v>100</v>
      </c>
      <c r="L1839" s="1" t="s">
        <v>4438</v>
      </c>
      <c r="M1839" t="s">
        <v>189</v>
      </c>
      <c r="N1839">
        <v>2</v>
      </c>
    </row>
    <row r="1840" spans="1:14" x14ac:dyDescent="0.25">
      <c r="A1840" s="3" t="str">
        <f>HYPERLINK("http://www.ncbi.nlm.nih.gov/gene/3192","3192")</f>
        <v>3192</v>
      </c>
      <c r="B1840" s="1" t="s">
        <v>4440</v>
      </c>
      <c r="C1840" t="s">
        <v>4441</v>
      </c>
      <c r="D1840">
        <v>162.6</v>
      </c>
      <c r="E1840">
        <v>170.5</v>
      </c>
      <c r="F1840">
        <v>99.9</v>
      </c>
      <c r="G1840">
        <v>98.9</v>
      </c>
      <c r="H1840">
        <v>146.30000000000001</v>
      </c>
      <c r="I1840">
        <v>150.5</v>
      </c>
      <c r="J1840">
        <v>100</v>
      </c>
      <c r="K1840">
        <v>100</v>
      </c>
      <c r="L1840" s="1" t="s">
        <v>4440</v>
      </c>
      <c r="M1840" t="s">
        <v>995</v>
      </c>
      <c r="N1840">
        <v>3</v>
      </c>
    </row>
    <row r="1841" spans="1:14" x14ac:dyDescent="0.25">
      <c r="A1841" s="3" t="str">
        <f>HYPERLINK("http://www.ncbi.nlm.nih.gov/gene/112817","112817")</f>
        <v>112817</v>
      </c>
      <c r="B1841" s="1" t="s">
        <v>4442</v>
      </c>
      <c r="C1841" t="s">
        <v>4443</v>
      </c>
      <c r="D1841">
        <v>148.30000000000001</v>
      </c>
      <c r="E1841">
        <v>156.5</v>
      </c>
      <c r="F1841">
        <v>100</v>
      </c>
      <c r="G1841">
        <v>96.4</v>
      </c>
      <c r="H1841">
        <v>141.5</v>
      </c>
      <c r="I1841">
        <v>145.9</v>
      </c>
      <c r="J1841">
        <v>100</v>
      </c>
      <c r="K1841">
        <v>100</v>
      </c>
      <c r="L1841" s="1" t="s">
        <v>4442</v>
      </c>
      <c r="M1841" t="s">
        <v>4444</v>
      </c>
      <c r="N1841">
        <v>4</v>
      </c>
    </row>
    <row r="1842" spans="1:14" x14ac:dyDescent="0.25">
      <c r="A1842" s="3" t="str">
        <f>HYPERLINK("http://www.ncbi.nlm.nih.gov/gene/9455","9455")</f>
        <v>9455</v>
      </c>
      <c r="B1842" s="1" t="s">
        <v>4445</v>
      </c>
      <c r="C1842" t="s">
        <v>4446</v>
      </c>
      <c r="D1842">
        <v>134.19999999999999</v>
      </c>
      <c r="E1842">
        <v>139.80000000000001</v>
      </c>
      <c r="F1842">
        <v>99.5</v>
      </c>
      <c r="G1842">
        <v>99.4</v>
      </c>
      <c r="H1842">
        <v>137.5</v>
      </c>
      <c r="I1842">
        <v>141.19999999999999</v>
      </c>
      <c r="J1842">
        <v>100</v>
      </c>
      <c r="K1842">
        <v>100</v>
      </c>
      <c r="L1842" s="1" t="s">
        <v>4445</v>
      </c>
      <c r="M1842" t="s">
        <v>76</v>
      </c>
      <c r="N1842">
        <v>2</v>
      </c>
    </row>
    <row r="1843" spans="1:14" x14ac:dyDescent="0.25">
      <c r="A1843" s="3" t="str">
        <f>HYPERLINK("http://www.ncbi.nlm.nih.gov/gene/51361","51361")</f>
        <v>51361</v>
      </c>
      <c r="B1843" s="1" t="s">
        <v>4447</v>
      </c>
      <c r="C1843" t="s">
        <v>4396</v>
      </c>
      <c r="D1843">
        <v>99.1</v>
      </c>
      <c r="E1843">
        <v>101.7</v>
      </c>
      <c r="F1843">
        <v>99.6</v>
      </c>
      <c r="G1843">
        <v>96.5</v>
      </c>
      <c r="H1843">
        <v>121.1</v>
      </c>
      <c r="I1843">
        <v>123.7</v>
      </c>
      <c r="J1843">
        <v>100</v>
      </c>
      <c r="K1843">
        <v>100</v>
      </c>
      <c r="L1843" s="1" t="s">
        <v>4447</v>
      </c>
      <c r="M1843" t="s">
        <v>661</v>
      </c>
      <c r="N1843">
        <v>2</v>
      </c>
    </row>
    <row r="1844" spans="1:14" x14ac:dyDescent="0.25">
      <c r="A1844" s="3" t="str">
        <f>HYPERLINK("http://www.ncbi.nlm.nih.gov/gene/3198","3198")</f>
        <v>3198</v>
      </c>
      <c r="B1844" s="1" t="s">
        <v>4448</v>
      </c>
      <c r="C1844" t="s">
        <v>4449</v>
      </c>
      <c r="D1844">
        <v>163.6</v>
      </c>
      <c r="E1844">
        <v>167.5</v>
      </c>
      <c r="F1844">
        <v>100</v>
      </c>
      <c r="G1844">
        <v>100</v>
      </c>
      <c r="H1844">
        <v>145.9</v>
      </c>
      <c r="I1844">
        <v>148</v>
      </c>
      <c r="J1844">
        <v>100</v>
      </c>
      <c r="K1844">
        <v>100</v>
      </c>
      <c r="L1844" s="1" t="s">
        <v>4448</v>
      </c>
      <c r="M1844" t="s">
        <v>4450</v>
      </c>
      <c r="N1844">
        <v>3</v>
      </c>
    </row>
    <row r="1845" spans="1:14" x14ac:dyDescent="0.25">
      <c r="A1845" s="3" t="str">
        <f>HYPERLINK("http://www.ncbi.nlm.nih.gov/gene/3207","3207")</f>
        <v>3207</v>
      </c>
      <c r="B1845" s="1" t="s">
        <v>4451</v>
      </c>
      <c r="C1845" t="s">
        <v>4452</v>
      </c>
      <c r="D1845">
        <v>84.2</v>
      </c>
      <c r="E1845">
        <v>95.6</v>
      </c>
      <c r="F1845">
        <v>97.1</v>
      </c>
      <c r="G1845">
        <v>87.5</v>
      </c>
      <c r="H1845">
        <v>147.30000000000001</v>
      </c>
      <c r="I1845">
        <v>143.4</v>
      </c>
      <c r="J1845">
        <v>100</v>
      </c>
      <c r="K1845">
        <v>100</v>
      </c>
      <c r="L1845" s="1" t="s">
        <v>4451</v>
      </c>
      <c r="M1845" t="s">
        <v>4453</v>
      </c>
      <c r="N1845">
        <v>4</v>
      </c>
    </row>
    <row r="1846" spans="1:14" x14ac:dyDescent="0.25">
      <c r="A1846" s="3" t="str">
        <f>HYPERLINK("http://www.ncbi.nlm.nih.gov/gene/3209","3209")</f>
        <v>3209</v>
      </c>
      <c r="B1846" s="1" t="s">
        <v>4454</v>
      </c>
      <c r="C1846" t="s">
        <v>4455</v>
      </c>
      <c r="D1846">
        <v>78</v>
      </c>
      <c r="E1846">
        <v>66</v>
      </c>
      <c r="F1846">
        <v>77.7</v>
      </c>
      <c r="G1846">
        <v>69</v>
      </c>
      <c r="H1846">
        <v>94.1</v>
      </c>
      <c r="I1846">
        <v>93.5</v>
      </c>
      <c r="J1846">
        <v>89.7</v>
      </c>
      <c r="K1846">
        <v>79.7</v>
      </c>
      <c r="L1846" s="1" t="s">
        <v>4454</v>
      </c>
      <c r="M1846" t="s">
        <v>3748</v>
      </c>
      <c r="N1846">
        <v>3</v>
      </c>
    </row>
    <row r="1847" spans="1:14" x14ac:dyDescent="0.25">
      <c r="A1847" s="3" t="str">
        <f>HYPERLINK("http://www.ncbi.nlm.nih.gov/gene/3199","3199")</f>
        <v>3199</v>
      </c>
      <c r="B1847" s="1" t="s">
        <v>4456</v>
      </c>
      <c r="C1847" t="s">
        <v>4457</v>
      </c>
      <c r="D1847">
        <v>95</v>
      </c>
      <c r="E1847">
        <v>86.8</v>
      </c>
      <c r="F1847">
        <v>100</v>
      </c>
      <c r="G1847">
        <v>99.9</v>
      </c>
      <c r="H1847">
        <v>129.9</v>
      </c>
      <c r="I1847">
        <v>129.69999999999999</v>
      </c>
      <c r="J1847">
        <v>100</v>
      </c>
      <c r="K1847">
        <v>100</v>
      </c>
      <c r="L1847" s="1" t="s">
        <v>4456</v>
      </c>
      <c r="M1847" t="s">
        <v>4458</v>
      </c>
      <c r="N1847">
        <v>3</v>
      </c>
    </row>
    <row r="1848" spans="1:14" x14ac:dyDescent="0.25">
      <c r="A1848" s="3" t="str">
        <f>HYPERLINK("http://www.ncbi.nlm.nih.gov/gene/3201","3201")</f>
        <v>3201</v>
      </c>
      <c r="B1848" s="1" t="s">
        <v>4459</v>
      </c>
      <c r="C1848" t="s">
        <v>4460</v>
      </c>
      <c r="D1848">
        <v>85.6</v>
      </c>
      <c r="E1848">
        <v>72.8</v>
      </c>
      <c r="F1848">
        <v>87.8</v>
      </c>
      <c r="G1848">
        <v>77</v>
      </c>
      <c r="H1848">
        <v>107.3</v>
      </c>
      <c r="I1848">
        <v>109.9</v>
      </c>
      <c r="J1848">
        <v>99.4</v>
      </c>
      <c r="K1848">
        <v>96</v>
      </c>
      <c r="L1848" s="1" t="s">
        <v>4459</v>
      </c>
      <c r="M1848" t="s">
        <v>661</v>
      </c>
      <c r="N1848">
        <v>2</v>
      </c>
    </row>
    <row r="1849" spans="1:14" x14ac:dyDescent="0.25">
      <c r="A1849" s="3" t="str">
        <f>HYPERLINK("http://www.ncbi.nlm.nih.gov/gene/3211","3211")</f>
        <v>3211</v>
      </c>
      <c r="B1849" s="1" t="s">
        <v>4461</v>
      </c>
      <c r="C1849" t="s">
        <v>4462</v>
      </c>
      <c r="D1849">
        <v>161.4</v>
      </c>
      <c r="E1849">
        <v>158.6</v>
      </c>
      <c r="F1849">
        <v>100</v>
      </c>
      <c r="G1849">
        <v>100</v>
      </c>
      <c r="H1849">
        <v>147.9</v>
      </c>
      <c r="I1849">
        <v>151.1</v>
      </c>
      <c r="J1849">
        <v>100</v>
      </c>
      <c r="K1849">
        <v>100</v>
      </c>
      <c r="L1849" s="1" t="s">
        <v>4461</v>
      </c>
      <c r="M1849" t="s">
        <v>53</v>
      </c>
      <c r="N1849">
        <v>2</v>
      </c>
    </row>
    <row r="1850" spans="1:14" x14ac:dyDescent="0.25">
      <c r="A1850" s="3" t="str">
        <f>HYPERLINK("http://www.ncbi.nlm.nih.gov/gene/10481","10481")</f>
        <v>10481</v>
      </c>
      <c r="B1850" s="1" t="s">
        <v>4463</v>
      </c>
      <c r="C1850" t="s">
        <v>4464</v>
      </c>
      <c r="D1850">
        <v>180.2</v>
      </c>
      <c r="E1850">
        <v>194.7</v>
      </c>
      <c r="F1850">
        <v>100</v>
      </c>
      <c r="G1850">
        <v>99.1</v>
      </c>
      <c r="H1850">
        <v>150.4</v>
      </c>
      <c r="I1850">
        <v>155.6</v>
      </c>
      <c r="J1850">
        <v>100</v>
      </c>
      <c r="K1850">
        <v>100</v>
      </c>
      <c r="L1850" s="1" t="s">
        <v>4463</v>
      </c>
      <c r="M1850" t="s">
        <v>19</v>
      </c>
      <c r="N1850">
        <v>2</v>
      </c>
    </row>
    <row r="1851" spans="1:14" x14ac:dyDescent="0.25">
      <c r="A1851" s="3" t="str">
        <f>HYPERLINK("http://www.ncbi.nlm.nih.gov/gene/3214","3214")</f>
        <v>3214</v>
      </c>
      <c r="B1851" s="1" t="s">
        <v>4465</v>
      </c>
      <c r="C1851" t="s">
        <v>4466</v>
      </c>
      <c r="D1851">
        <v>101.9</v>
      </c>
      <c r="E1851">
        <v>89.9</v>
      </c>
      <c r="F1851">
        <v>100</v>
      </c>
      <c r="G1851">
        <v>97.3</v>
      </c>
      <c r="H1851">
        <v>118.2</v>
      </c>
      <c r="I1851">
        <v>122.7</v>
      </c>
      <c r="J1851">
        <v>100</v>
      </c>
      <c r="K1851">
        <v>99.9</v>
      </c>
      <c r="L1851" s="1" t="s">
        <v>4465</v>
      </c>
      <c r="M1851" t="s">
        <v>661</v>
      </c>
      <c r="N1851">
        <v>2</v>
      </c>
    </row>
    <row r="1852" spans="1:14" x14ac:dyDescent="0.25">
      <c r="A1852" s="3" t="str">
        <f>HYPERLINK("http://www.ncbi.nlm.nih.gov/gene/3229","3229")</f>
        <v>3229</v>
      </c>
      <c r="B1852" s="1" t="s">
        <v>4467</v>
      </c>
      <c r="C1852" t="s">
        <v>4468</v>
      </c>
      <c r="D1852">
        <v>152.19999999999999</v>
      </c>
      <c r="E1852">
        <v>144.6</v>
      </c>
      <c r="F1852">
        <v>100</v>
      </c>
      <c r="G1852">
        <v>99.9</v>
      </c>
      <c r="H1852">
        <v>144.80000000000001</v>
      </c>
      <c r="I1852">
        <v>146.69999999999999</v>
      </c>
      <c r="J1852">
        <v>100</v>
      </c>
      <c r="K1852">
        <v>100</v>
      </c>
      <c r="L1852" s="1" t="s">
        <v>4467</v>
      </c>
      <c r="M1852" t="s">
        <v>246</v>
      </c>
      <c r="N1852">
        <v>3</v>
      </c>
    </row>
    <row r="1853" spans="1:14" x14ac:dyDescent="0.25">
      <c r="A1853" s="3" t="str">
        <f>HYPERLINK("http://www.ncbi.nlm.nih.gov/gene/3236","3236")</f>
        <v>3236</v>
      </c>
      <c r="B1853" s="1" t="s">
        <v>4469</v>
      </c>
      <c r="C1853" t="s">
        <v>4470</v>
      </c>
      <c r="D1853">
        <v>173.8</v>
      </c>
      <c r="E1853">
        <v>166</v>
      </c>
      <c r="F1853">
        <v>100</v>
      </c>
      <c r="G1853">
        <v>100</v>
      </c>
      <c r="H1853">
        <v>149.80000000000001</v>
      </c>
      <c r="I1853">
        <v>151.1</v>
      </c>
      <c r="J1853">
        <v>100</v>
      </c>
      <c r="K1853">
        <v>100</v>
      </c>
      <c r="L1853" s="1" t="s">
        <v>4469</v>
      </c>
      <c r="M1853" t="s">
        <v>718</v>
      </c>
      <c r="N1853">
        <v>2</v>
      </c>
    </row>
    <row r="1854" spans="1:14" x14ac:dyDescent="0.25">
      <c r="A1854" s="3" t="str">
        <f>HYPERLINK("http://www.ncbi.nlm.nih.gov/gene/3239","3239")</f>
        <v>3239</v>
      </c>
      <c r="B1854" s="1" t="s">
        <v>4471</v>
      </c>
      <c r="C1854" t="s">
        <v>4472</v>
      </c>
      <c r="D1854">
        <v>137.80000000000001</v>
      </c>
      <c r="E1854">
        <v>157</v>
      </c>
      <c r="F1854">
        <v>99.9</v>
      </c>
      <c r="G1854">
        <v>98.6</v>
      </c>
      <c r="H1854">
        <v>116.6</v>
      </c>
      <c r="I1854">
        <v>117</v>
      </c>
      <c r="J1854">
        <v>100</v>
      </c>
      <c r="K1854">
        <v>100</v>
      </c>
      <c r="L1854" s="1" t="s">
        <v>4471</v>
      </c>
      <c r="M1854" t="s">
        <v>1253</v>
      </c>
      <c r="N1854">
        <v>2</v>
      </c>
    </row>
    <row r="1855" spans="1:14" x14ac:dyDescent="0.25">
      <c r="A1855" s="3" t="str">
        <f>HYPERLINK("http://www.ncbi.nlm.nih.gov/gene/3208","3208")</f>
        <v>3208</v>
      </c>
      <c r="B1855" s="1" t="s">
        <v>4473</v>
      </c>
      <c r="C1855" t="s">
        <v>4474</v>
      </c>
      <c r="D1855">
        <v>272.60000000000002</v>
      </c>
      <c r="E1855">
        <v>276.89999999999998</v>
      </c>
      <c r="F1855">
        <v>100</v>
      </c>
      <c r="G1855">
        <v>100</v>
      </c>
      <c r="H1855">
        <v>155</v>
      </c>
      <c r="I1855">
        <v>157.80000000000001</v>
      </c>
      <c r="J1855">
        <v>100</v>
      </c>
      <c r="K1855">
        <v>100</v>
      </c>
      <c r="L1855" s="1" t="s">
        <v>4473</v>
      </c>
      <c r="M1855" t="s">
        <v>53</v>
      </c>
      <c r="N1855">
        <v>2</v>
      </c>
    </row>
    <row r="1856" spans="1:14" x14ac:dyDescent="0.25">
      <c r="A1856" s="3" t="str">
        <f>HYPERLINK("http://www.ncbi.nlm.nih.gov/gene/3242","3242")</f>
        <v>3242</v>
      </c>
      <c r="B1856" s="1" t="s">
        <v>4475</v>
      </c>
      <c r="C1856" t="s">
        <v>4476</v>
      </c>
      <c r="D1856">
        <v>168.4</v>
      </c>
      <c r="E1856">
        <v>174.6</v>
      </c>
      <c r="F1856">
        <v>100</v>
      </c>
      <c r="G1856">
        <v>100</v>
      </c>
      <c r="H1856">
        <v>128.19999999999999</v>
      </c>
      <c r="I1856">
        <v>130.69999999999999</v>
      </c>
      <c r="J1856">
        <v>100</v>
      </c>
      <c r="K1856">
        <v>100</v>
      </c>
      <c r="L1856" s="1" t="s">
        <v>4475</v>
      </c>
      <c r="M1856" t="s">
        <v>4477</v>
      </c>
      <c r="N1856">
        <v>4</v>
      </c>
    </row>
    <row r="1857" spans="1:14" x14ac:dyDescent="0.25">
      <c r="A1857" s="3" t="str">
        <f>HYPERLINK("http://www.ncbi.nlm.nih.gov/gene/84842","84842")</f>
        <v>84842</v>
      </c>
      <c r="B1857" s="1" t="s">
        <v>4478</v>
      </c>
      <c r="C1857" t="s">
        <v>4479</v>
      </c>
      <c r="D1857">
        <v>192.3</v>
      </c>
      <c r="E1857">
        <v>200.6</v>
      </c>
      <c r="F1857">
        <v>100</v>
      </c>
      <c r="G1857">
        <v>100</v>
      </c>
      <c r="H1857">
        <v>155.19999999999999</v>
      </c>
      <c r="I1857">
        <v>155.6</v>
      </c>
      <c r="J1857">
        <v>100</v>
      </c>
      <c r="K1857">
        <v>100</v>
      </c>
      <c r="L1857" s="1" t="s">
        <v>4478</v>
      </c>
      <c r="M1857" t="s">
        <v>4480</v>
      </c>
      <c r="N1857">
        <v>5</v>
      </c>
    </row>
    <row r="1858" spans="1:14" x14ac:dyDescent="0.25">
      <c r="A1858" s="3" t="str">
        <f>HYPERLINK("http://www.ncbi.nlm.nih.gov/gene/3248","3248")</f>
        <v>3248</v>
      </c>
      <c r="B1858" s="1" t="s">
        <v>4481</v>
      </c>
      <c r="C1858" t="s">
        <v>4482</v>
      </c>
      <c r="D1858">
        <v>92.4</v>
      </c>
      <c r="E1858">
        <v>95.5</v>
      </c>
      <c r="F1858">
        <v>100</v>
      </c>
      <c r="G1858">
        <v>98.9</v>
      </c>
      <c r="H1858">
        <v>126.4</v>
      </c>
      <c r="I1858">
        <v>129.4</v>
      </c>
      <c r="J1858">
        <v>100</v>
      </c>
      <c r="K1858">
        <v>100</v>
      </c>
      <c r="L1858" s="1" t="s">
        <v>4481</v>
      </c>
      <c r="M1858" t="s">
        <v>239</v>
      </c>
      <c r="N1858">
        <v>4</v>
      </c>
    </row>
    <row r="1859" spans="1:14" x14ac:dyDescent="0.25">
      <c r="A1859" s="3" t="str">
        <f>HYPERLINK("http://www.ncbi.nlm.nih.gov/gene/3251","3251")</f>
        <v>3251</v>
      </c>
      <c r="B1859" s="1" t="s">
        <v>4483</v>
      </c>
      <c r="C1859" t="s">
        <v>4484</v>
      </c>
      <c r="D1859">
        <v>72</v>
      </c>
      <c r="E1859">
        <v>74.2</v>
      </c>
      <c r="F1859">
        <v>99.3</v>
      </c>
      <c r="G1859">
        <v>91.8</v>
      </c>
      <c r="H1859">
        <v>108.3</v>
      </c>
      <c r="I1859">
        <v>111.1</v>
      </c>
      <c r="J1859">
        <v>100</v>
      </c>
      <c r="K1859">
        <v>99.3</v>
      </c>
      <c r="L1859" s="1" t="s">
        <v>4483</v>
      </c>
      <c r="M1859" t="s">
        <v>4485</v>
      </c>
      <c r="N1859">
        <v>5</v>
      </c>
    </row>
    <row r="1860" spans="1:14" x14ac:dyDescent="0.25">
      <c r="A1860" s="3" t="str">
        <f>HYPERLINK("http://www.ncbi.nlm.nih.gov/gene/3257","3257")</f>
        <v>3257</v>
      </c>
      <c r="B1860" s="1" t="s">
        <v>4486</v>
      </c>
      <c r="C1860" t="s">
        <v>4487</v>
      </c>
      <c r="D1860">
        <v>120.9</v>
      </c>
      <c r="E1860">
        <v>123.1</v>
      </c>
      <c r="F1860">
        <v>100</v>
      </c>
      <c r="G1860">
        <v>100</v>
      </c>
      <c r="H1860">
        <v>130.69999999999999</v>
      </c>
      <c r="I1860">
        <v>134.19999999999999</v>
      </c>
      <c r="J1860">
        <v>100</v>
      </c>
      <c r="K1860">
        <v>100</v>
      </c>
      <c r="L1860" s="1" t="s">
        <v>4486</v>
      </c>
      <c r="M1860" t="s">
        <v>1157</v>
      </c>
      <c r="N1860">
        <v>5</v>
      </c>
    </row>
    <row r="1861" spans="1:14" x14ac:dyDescent="0.25">
      <c r="A1861" s="3" t="str">
        <f>HYPERLINK("http://www.ncbi.nlm.nih.gov/gene/84343","84343")</f>
        <v>84343</v>
      </c>
      <c r="B1861" s="1" t="s">
        <v>4488</v>
      </c>
      <c r="C1861" t="s">
        <v>4489</v>
      </c>
      <c r="D1861">
        <v>162</v>
      </c>
      <c r="E1861">
        <v>165.7</v>
      </c>
      <c r="F1861">
        <v>99.7</v>
      </c>
      <c r="G1861">
        <v>97.5</v>
      </c>
      <c r="H1861">
        <v>134.5</v>
      </c>
      <c r="I1861">
        <v>136.4</v>
      </c>
      <c r="J1861">
        <v>100</v>
      </c>
      <c r="K1861">
        <v>100</v>
      </c>
      <c r="L1861" s="1" t="s">
        <v>4488</v>
      </c>
      <c r="M1861" t="s">
        <v>1157</v>
      </c>
      <c r="N1861">
        <v>5</v>
      </c>
    </row>
    <row r="1862" spans="1:14" x14ac:dyDescent="0.25">
      <c r="A1862" s="3" t="str">
        <f>HYPERLINK("http://www.ncbi.nlm.nih.gov/gene/89781","89781")</f>
        <v>89781</v>
      </c>
      <c r="B1862" s="1" t="s">
        <v>4490</v>
      </c>
      <c r="C1862" t="s">
        <v>4491</v>
      </c>
      <c r="D1862">
        <v>138.69999999999999</v>
      </c>
      <c r="E1862">
        <v>142.1</v>
      </c>
      <c r="F1862">
        <v>100</v>
      </c>
      <c r="G1862">
        <v>100</v>
      </c>
      <c r="H1862">
        <v>144.30000000000001</v>
      </c>
      <c r="I1862">
        <v>148</v>
      </c>
      <c r="J1862">
        <v>100</v>
      </c>
      <c r="K1862">
        <v>100</v>
      </c>
      <c r="L1862" s="1" t="s">
        <v>4490</v>
      </c>
      <c r="M1862" t="s">
        <v>1157</v>
      </c>
      <c r="N1862">
        <v>5</v>
      </c>
    </row>
    <row r="1863" spans="1:14" x14ac:dyDescent="0.25">
      <c r="A1863" s="3" t="str">
        <f>HYPERLINK("http://www.ncbi.nlm.nih.gov/gene/11234","11234")</f>
        <v>11234</v>
      </c>
      <c r="B1863" s="1" t="s">
        <v>4492</v>
      </c>
      <c r="C1863" t="s">
        <v>4493</v>
      </c>
      <c r="D1863">
        <v>137.69999999999999</v>
      </c>
      <c r="E1863">
        <v>142.5</v>
      </c>
      <c r="F1863">
        <v>100</v>
      </c>
      <c r="G1863">
        <v>99.7</v>
      </c>
      <c r="H1863">
        <v>135.9</v>
      </c>
      <c r="I1863">
        <v>139.6</v>
      </c>
      <c r="J1863">
        <v>100</v>
      </c>
      <c r="K1863">
        <v>100</v>
      </c>
      <c r="L1863" s="1" t="s">
        <v>4492</v>
      </c>
      <c r="M1863" t="s">
        <v>1157</v>
      </c>
      <c r="N1863">
        <v>5</v>
      </c>
    </row>
    <row r="1864" spans="1:14" x14ac:dyDescent="0.25">
      <c r="A1864" s="3" t="str">
        <f>HYPERLINK("http://www.ncbi.nlm.nih.gov/gene/79803","79803")</f>
        <v>79803</v>
      </c>
      <c r="B1864" s="1" t="s">
        <v>4494</v>
      </c>
      <c r="C1864" t="s">
        <v>4495</v>
      </c>
      <c r="D1864">
        <v>155.19999999999999</v>
      </c>
      <c r="E1864">
        <v>172.2</v>
      </c>
      <c r="F1864">
        <v>97.1</v>
      </c>
      <c r="G1864">
        <v>88.9</v>
      </c>
      <c r="H1864">
        <v>145.9</v>
      </c>
      <c r="I1864">
        <v>145.19999999999999</v>
      </c>
      <c r="J1864">
        <v>100</v>
      </c>
      <c r="K1864">
        <v>100</v>
      </c>
      <c r="L1864" s="1" t="s">
        <v>4494</v>
      </c>
      <c r="M1864" t="s">
        <v>1157</v>
      </c>
      <c r="N1864">
        <v>5</v>
      </c>
    </row>
    <row r="1865" spans="1:14" x14ac:dyDescent="0.25">
      <c r="A1865" s="3" t="str">
        <f>HYPERLINK("http://www.ncbi.nlm.nih.gov/gene/60495","60495")</f>
        <v>60495</v>
      </c>
      <c r="B1865" s="1" t="s">
        <v>4496</v>
      </c>
      <c r="C1865" t="s">
        <v>4497</v>
      </c>
      <c r="D1865">
        <v>118.7</v>
      </c>
      <c r="E1865">
        <v>125</v>
      </c>
      <c r="F1865">
        <v>100</v>
      </c>
      <c r="G1865">
        <v>99.9</v>
      </c>
      <c r="H1865">
        <v>136</v>
      </c>
      <c r="I1865">
        <v>140.4</v>
      </c>
      <c r="J1865">
        <v>100</v>
      </c>
      <c r="K1865">
        <v>100</v>
      </c>
      <c r="L1865" s="1" t="s">
        <v>4496</v>
      </c>
      <c r="M1865" t="s">
        <v>53</v>
      </c>
      <c r="N1865">
        <v>2</v>
      </c>
    </row>
    <row r="1866" spans="1:14" x14ac:dyDescent="0.25">
      <c r="A1866" s="3" t="str">
        <f>HYPERLINK("http://www.ncbi.nlm.nih.gov/gene/55806","55806")</f>
        <v>55806</v>
      </c>
      <c r="B1866" s="1" t="s">
        <v>4498</v>
      </c>
      <c r="C1866" t="s">
        <v>4499</v>
      </c>
      <c r="D1866">
        <v>113.1</v>
      </c>
      <c r="E1866">
        <v>109.8</v>
      </c>
      <c r="F1866">
        <v>98.5</v>
      </c>
      <c r="G1866">
        <v>95.6</v>
      </c>
      <c r="H1866">
        <v>150.1</v>
      </c>
      <c r="I1866">
        <v>154.6</v>
      </c>
      <c r="J1866">
        <v>100</v>
      </c>
      <c r="K1866">
        <v>100</v>
      </c>
      <c r="L1866" s="1" t="s">
        <v>4498</v>
      </c>
      <c r="M1866" t="s">
        <v>4146</v>
      </c>
      <c r="N1866">
        <v>3</v>
      </c>
    </row>
    <row r="1867" spans="1:14" x14ac:dyDescent="0.25">
      <c r="A1867" s="3" t="str">
        <f>HYPERLINK("http://www.ncbi.nlm.nih.gov/gene/3265","3265")</f>
        <v>3265</v>
      </c>
      <c r="B1867" s="1" t="s">
        <v>4500</v>
      </c>
      <c r="C1867" t="s">
        <v>4501</v>
      </c>
      <c r="D1867">
        <v>170.4</v>
      </c>
      <c r="E1867">
        <v>177.9</v>
      </c>
      <c r="F1867">
        <v>100</v>
      </c>
      <c r="G1867">
        <v>100</v>
      </c>
      <c r="H1867">
        <v>204.1</v>
      </c>
      <c r="I1867">
        <v>209.2</v>
      </c>
      <c r="J1867">
        <v>100</v>
      </c>
      <c r="K1867">
        <v>100</v>
      </c>
      <c r="L1867" s="1" t="s">
        <v>4500</v>
      </c>
      <c r="M1867" t="s">
        <v>4502</v>
      </c>
      <c r="N1867">
        <v>6</v>
      </c>
    </row>
    <row r="1868" spans="1:14" x14ac:dyDescent="0.25">
      <c r="A1868" s="3" t="str">
        <f>HYPERLINK("http://www.ncbi.nlm.nih.gov/gene/3273","3273")</f>
        <v>3273</v>
      </c>
      <c r="B1868" s="1" t="s">
        <v>4503</v>
      </c>
      <c r="C1868" t="s">
        <v>4504</v>
      </c>
      <c r="D1868">
        <v>152.30000000000001</v>
      </c>
      <c r="E1868">
        <v>152.5</v>
      </c>
      <c r="F1868">
        <v>95</v>
      </c>
      <c r="G1868">
        <v>94.2</v>
      </c>
      <c r="H1868">
        <v>171.2</v>
      </c>
      <c r="I1868">
        <v>182.9</v>
      </c>
      <c r="J1868">
        <v>100</v>
      </c>
      <c r="K1868">
        <v>100</v>
      </c>
      <c r="L1868" s="1" t="s">
        <v>4503</v>
      </c>
      <c r="M1868" t="s">
        <v>4505</v>
      </c>
      <c r="N1868">
        <v>2</v>
      </c>
    </row>
    <row r="1869" spans="1:14" x14ac:dyDescent="0.25">
      <c r="A1869" s="3" t="str">
        <f>HYPERLINK("http://www.ncbi.nlm.nih.gov/gene/9394","9394")</f>
        <v>9394</v>
      </c>
      <c r="B1869" s="1" t="s">
        <v>4506</v>
      </c>
      <c r="C1869" t="s">
        <v>4507</v>
      </c>
      <c r="D1869">
        <v>55</v>
      </c>
      <c r="E1869">
        <v>54.3</v>
      </c>
      <c r="F1869">
        <v>92.9</v>
      </c>
      <c r="G1869">
        <v>84.5</v>
      </c>
      <c r="H1869">
        <v>155.80000000000001</v>
      </c>
      <c r="I1869">
        <v>155</v>
      </c>
      <c r="J1869">
        <v>100</v>
      </c>
      <c r="K1869">
        <v>100</v>
      </c>
      <c r="L1869" s="1" t="s">
        <v>4506</v>
      </c>
      <c r="M1869" t="s">
        <v>4508</v>
      </c>
      <c r="N1869">
        <v>4</v>
      </c>
    </row>
    <row r="1870" spans="1:14" x14ac:dyDescent="0.25">
      <c r="A1870" s="3" t="str">
        <f>HYPERLINK("http://www.ncbi.nlm.nih.gov/gene/90161","90161")</f>
        <v>90161</v>
      </c>
      <c r="B1870" s="1" t="s">
        <v>4509</v>
      </c>
      <c r="C1870" t="s">
        <v>4510</v>
      </c>
      <c r="D1870">
        <v>140.6</v>
      </c>
      <c r="E1870">
        <v>149.5</v>
      </c>
      <c r="F1870">
        <v>97.6</v>
      </c>
      <c r="G1870">
        <v>96.6</v>
      </c>
      <c r="H1870">
        <v>143.69999999999999</v>
      </c>
      <c r="I1870">
        <v>145</v>
      </c>
      <c r="J1870">
        <v>100</v>
      </c>
      <c r="K1870">
        <v>100</v>
      </c>
      <c r="L1870" s="1" t="s">
        <v>4509</v>
      </c>
      <c r="M1870" t="s">
        <v>868</v>
      </c>
      <c r="N1870">
        <v>1</v>
      </c>
    </row>
    <row r="1871" spans="1:14" x14ac:dyDescent="0.25">
      <c r="A1871" s="3" t="str">
        <f>HYPERLINK("http://www.ncbi.nlm.nih.gov/gene/150274","150274")</f>
        <v>150274</v>
      </c>
      <c r="B1871" s="1" t="s">
        <v>4511</v>
      </c>
      <c r="C1871" t="s">
        <v>4512</v>
      </c>
      <c r="D1871">
        <v>109.2</v>
      </c>
      <c r="E1871">
        <v>108</v>
      </c>
      <c r="F1871">
        <v>100</v>
      </c>
      <c r="G1871">
        <v>98.7</v>
      </c>
      <c r="H1871">
        <v>143.9</v>
      </c>
      <c r="I1871">
        <v>147.5</v>
      </c>
      <c r="J1871">
        <v>100</v>
      </c>
      <c r="K1871">
        <v>100</v>
      </c>
      <c r="L1871" s="1" t="s">
        <v>4511</v>
      </c>
      <c r="M1871" t="s">
        <v>62</v>
      </c>
      <c r="N1871">
        <v>2</v>
      </c>
    </row>
    <row r="1872" spans="1:14" x14ac:dyDescent="0.25">
      <c r="A1872" s="3" t="str">
        <f>HYPERLINK("http://www.ncbi.nlm.nih.gov/gene/3290","3290")</f>
        <v>3290</v>
      </c>
      <c r="B1872" s="1" t="s">
        <v>4513</v>
      </c>
      <c r="C1872" t="s">
        <v>4514</v>
      </c>
      <c r="D1872">
        <v>122.1</v>
      </c>
      <c r="E1872">
        <v>126.6</v>
      </c>
      <c r="F1872">
        <v>100</v>
      </c>
      <c r="G1872">
        <v>99.6</v>
      </c>
      <c r="H1872">
        <v>129.80000000000001</v>
      </c>
      <c r="I1872">
        <v>134</v>
      </c>
      <c r="J1872">
        <v>100</v>
      </c>
      <c r="K1872">
        <v>100</v>
      </c>
      <c r="L1872" s="1" t="s">
        <v>4513</v>
      </c>
      <c r="M1872" t="s">
        <v>441</v>
      </c>
      <c r="N1872">
        <v>2</v>
      </c>
    </row>
    <row r="1873" spans="1:14" x14ac:dyDescent="0.25">
      <c r="A1873" s="3" t="str">
        <f>HYPERLINK("http://www.ncbi.nlm.nih.gov/gene/3291","3291")</f>
        <v>3291</v>
      </c>
      <c r="B1873" s="1" t="s">
        <v>4515</v>
      </c>
      <c r="C1873" t="s">
        <v>4516</v>
      </c>
      <c r="D1873">
        <v>159.9</v>
      </c>
      <c r="E1873">
        <v>167.3</v>
      </c>
      <c r="F1873">
        <v>86</v>
      </c>
      <c r="G1873">
        <v>82.7</v>
      </c>
      <c r="H1873">
        <v>123.7</v>
      </c>
      <c r="I1873">
        <v>125.5</v>
      </c>
      <c r="J1873">
        <v>99.9</v>
      </c>
      <c r="K1873">
        <v>98.1</v>
      </c>
      <c r="L1873" s="1" t="s">
        <v>4515</v>
      </c>
      <c r="M1873" t="s">
        <v>365</v>
      </c>
      <c r="N1873">
        <v>4</v>
      </c>
    </row>
    <row r="1874" spans="1:14" x14ac:dyDescent="0.25">
      <c r="A1874" s="3" t="str">
        <f>HYPERLINK("http://www.ncbi.nlm.nih.gov/gene/3028","3028")</f>
        <v>3028</v>
      </c>
      <c r="B1874" s="1" t="s">
        <v>4517</v>
      </c>
      <c r="C1874" t="s">
        <v>4518</v>
      </c>
      <c r="D1874">
        <v>106.7</v>
      </c>
      <c r="E1874">
        <v>109.8</v>
      </c>
      <c r="F1874">
        <v>100</v>
      </c>
      <c r="G1874">
        <v>99.1</v>
      </c>
      <c r="H1874">
        <v>145.30000000000001</v>
      </c>
      <c r="I1874">
        <v>149.1</v>
      </c>
      <c r="J1874">
        <v>100</v>
      </c>
      <c r="K1874">
        <v>100</v>
      </c>
      <c r="L1874" s="1" t="s">
        <v>4517</v>
      </c>
      <c r="M1874" t="s">
        <v>4519</v>
      </c>
      <c r="N1874">
        <v>5</v>
      </c>
    </row>
    <row r="1875" spans="1:14" x14ac:dyDescent="0.25">
      <c r="A1875" s="3" t="str">
        <f>HYPERLINK("http://www.ncbi.nlm.nih.gov/gene/3293","3293")</f>
        <v>3293</v>
      </c>
      <c r="B1875" s="1" t="s">
        <v>4520</v>
      </c>
      <c r="C1875" t="s">
        <v>4521</v>
      </c>
      <c r="D1875">
        <v>138.19999999999999</v>
      </c>
      <c r="E1875">
        <v>142.1</v>
      </c>
      <c r="F1875">
        <v>97.8</v>
      </c>
      <c r="G1875">
        <v>97.8</v>
      </c>
      <c r="H1875">
        <v>151.5</v>
      </c>
      <c r="I1875">
        <v>154.5</v>
      </c>
      <c r="J1875">
        <v>97.8</v>
      </c>
      <c r="K1875">
        <v>97.8</v>
      </c>
      <c r="L1875" s="1" t="s">
        <v>4520</v>
      </c>
      <c r="M1875" t="s">
        <v>2502</v>
      </c>
      <c r="N1875">
        <v>4</v>
      </c>
    </row>
    <row r="1876" spans="1:14" x14ac:dyDescent="0.25">
      <c r="A1876" s="3" t="str">
        <f>HYPERLINK("http://www.ncbi.nlm.nih.gov/gene/3295","3295")</f>
        <v>3295</v>
      </c>
      <c r="B1876" s="1" t="s">
        <v>4522</v>
      </c>
      <c r="C1876" t="s">
        <v>4523</v>
      </c>
      <c r="D1876">
        <v>126.2</v>
      </c>
      <c r="E1876">
        <v>130</v>
      </c>
      <c r="F1876">
        <v>95.4</v>
      </c>
      <c r="G1876">
        <v>93.1</v>
      </c>
      <c r="H1876">
        <v>117.6</v>
      </c>
      <c r="I1876">
        <v>119.8</v>
      </c>
      <c r="J1876">
        <v>96.6</v>
      </c>
      <c r="K1876">
        <v>96.6</v>
      </c>
      <c r="L1876" s="1" t="s">
        <v>4522</v>
      </c>
      <c r="M1876" t="s">
        <v>4524</v>
      </c>
      <c r="N1876">
        <v>10</v>
      </c>
    </row>
    <row r="1877" spans="1:14" x14ac:dyDescent="0.25">
      <c r="A1877" s="3" t="str">
        <f>HYPERLINK("http://www.ncbi.nlm.nih.gov/gene/3284","3284")</f>
        <v>3284</v>
      </c>
      <c r="B1877" s="1" t="s">
        <v>4525</v>
      </c>
      <c r="C1877" t="s">
        <v>4526</v>
      </c>
      <c r="D1877">
        <v>173.6</v>
      </c>
      <c r="E1877">
        <v>151.4</v>
      </c>
      <c r="F1877">
        <v>100</v>
      </c>
      <c r="G1877">
        <v>99.7</v>
      </c>
      <c r="H1877">
        <v>176.7</v>
      </c>
      <c r="I1877">
        <v>182.2</v>
      </c>
      <c r="J1877">
        <v>100</v>
      </c>
      <c r="K1877">
        <v>100</v>
      </c>
      <c r="L1877" s="1" t="s">
        <v>4525</v>
      </c>
      <c r="M1877" t="s">
        <v>2502</v>
      </c>
      <c r="N1877">
        <v>4</v>
      </c>
    </row>
    <row r="1878" spans="1:14" x14ac:dyDescent="0.25">
      <c r="A1878" s="3" t="str">
        <f>HYPERLINK("http://www.ncbi.nlm.nih.gov/gene/80270","80270")</f>
        <v>80270</v>
      </c>
      <c r="B1878" s="1" t="s">
        <v>4527</v>
      </c>
      <c r="C1878" t="s">
        <v>4528</v>
      </c>
      <c r="D1878">
        <v>142.1</v>
      </c>
      <c r="E1878">
        <v>142.9</v>
      </c>
      <c r="F1878">
        <v>99.1</v>
      </c>
      <c r="G1878">
        <v>95.5</v>
      </c>
      <c r="H1878">
        <v>134</v>
      </c>
      <c r="I1878">
        <v>137.6</v>
      </c>
      <c r="J1878">
        <v>100</v>
      </c>
      <c r="K1878">
        <v>100</v>
      </c>
      <c r="L1878" s="1" t="s">
        <v>4527</v>
      </c>
      <c r="M1878" t="s">
        <v>96</v>
      </c>
      <c r="N1878">
        <v>4</v>
      </c>
    </row>
    <row r="1879" spans="1:14" x14ac:dyDescent="0.25">
      <c r="A1879" s="3" t="str">
        <f>HYPERLINK("http://www.ncbi.nlm.nih.gov/gene/3299","3299")</f>
        <v>3299</v>
      </c>
      <c r="B1879" s="1" t="s">
        <v>4529</v>
      </c>
      <c r="C1879" t="s">
        <v>4530</v>
      </c>
      <c r="D1879">
        <v>127.6</v>
      </c>
      <c r="E1879">
        <v>131</v>
      </c>
      <c r="F1879">
        <v>99.6</v>
      </c>
      <c r="G1879">
        <v>97.2</v>
      </c>
      <c r="H1879">
        <v>118.9</v>
      </c>
      <c r="I1879">
        <v>121.5</v>
      </c>
      <c r="J1879">
        <v>100</v>
      </c>
      <c r="K1879">
        <v>100</v>
      </c>
      <c r="L1879" s="1" t="s">
        <v>4529</v>
      </c>
      <c r="M1879" t="s">
        <v>302</v>
      </c>
      <c r="N1879">
        <v>2</v>
      </c>
    </row>
    <row r="1880" spans="1:14" x14ac:dyDescent="0.25">
      <c r="A1880" s="3" t="str">
        <f>HYPERLINK("http://www.ncbi.nlm.nih.gov/gene/3313","3313")</f>
        <v>3313</v>
      </c>
      <c r="B1880" s="1" t="s">
        <v>4531</v>
      </c>
      <c r="C1880" t="s">
        <v>4532</v>
      </c>
      <c r="D1880">
        <v>97.7</v>
      </c>
      <c r="E1880">
        <v>97.6</v>
      </c>
      <c r="F1880">
        <v>88.5</v>
      </c>
      <c r="G1880">
        <v>84.5</v>
      </c>
      <c r="H1880">
        <v>119.8</v>
      </c>
      <c r="I1880">
        <v>123.1</v>
      </c>
      <c r="J1880">
        <v>100</v>
      </c>
      <c r="K1880">
        <v>100</v>
      </c>
      <c r="L1880" s="1" t="s">
        <v>4531</v>
      </c>
      <c r="M1880" t="s">
        <v>4533</v>
      </c>
      <c r="N1880">
        <v>6</v>
      </c>
    </row>
    <row r="1881" spans="1:14" x14ac:dyDescent="0.25">
      <c r="A1881" s="3" t="str">
        <f>HYPERLINK("http://www.ncbi.nlm.nih.gov/gene/3315","3315")</f>
        <v>3315</v>
      </c>
      <c r="B1881" s="1" t="s">
        <v>4534</v>
      </c>
      <c r="C1881" t="s">
        <v>4535</v>
      </c>
      <c r="D1881">
        <v>62.9</v>
      </c>
      <c r="E1881">
        <v>55.8</v>
      </c>
      <c r="F1881">
        <v>98.8</v>
      </c>
      <c r="G1881">
        <v>91.6</v>
      </c>
      <c r="H1881">
        <v>166.2</v>
      </c>
      <c r="I1881">
        <v>170.1</v>
      </c>
      <c r="J1881">
        <v>100</v>
      </c>
      <c r="K1881">
        <v>100</v>
      </c>
      <c r="L1881" s="1" t="s">
        <v>4534</v>
      </c>
      <c r="M1881" t="s">
        <v>856</v>
      </c>
      <c r="N1881">
        <v>3</v>
      </c>
    </row>
    <row r="1882" spans="1:14" x14ac:dyDescent="0.25">
      <c r="A1882" s="3" t="str">
        <f>HYPERLINK("http://www.ncbi.nlm.nih.gov/gene/8988","8988")</f>
        <v>8988</v>
      </c>
      <c r="B1882" s="1" t="s">
        <v>4536</v>
      </c>
      <c r="C1882" t="s">
        <v>4537</v>
      </c>
      <c r="D1882">
        <v>258.10000000000002</v>
      </c>
      <c r="E1882">
        <v>275.39999999999998</v>
      </c>
      <c r="F1882">
        <v>100</v>
      </c>
      <c r="G1882">
        <v>100</v>
      </c>
      <c r="H1882">
        <v>159</v>
      </c>
      <c r="I1882">
        <v>162.9</v>
      </c>
      <c r="J1882">
        <v>100</v>
      </c>
      <c r="K1882">
        <v>100</v>
      </c>
      <c r="L1882" s="1" t="s">
        <v>4536</v>
      </c>
      <c r="M1882" t="s">
        <v>718</v>
      </c>
      <c r="N1882">
        <v>2</v>
      </c>
    </row>
    <row r="1883" spans="1:14" x14ac:dyDescent="0.25">
      <c r="A1883" s="3" t="str">
        <f>HYPERLINK("http://www.ncbi.nlm.nih.gov/gene/126393","126393")</f>
        <v>126393</v>
      </c>
      <c r="B1883" s="1" t="s">
        <v>4538</v>
      </c>
      <c r="C1883" t="s">
        <v>4539</v>
      </c>
      <c r="D1883">
        <v>62.7</v>
      </c>
      <c r="E1883">
        <v>62.4</v>
      </c>
      <c r="F1883">
        <v>91.1</v>
      </c>
      <c r="G1883">
        <v>81</v>
      </c>
      <c r="H1883">
        <v>142.4</v>
      </c>
      <c r="I1883">
        <v>144.69999999999999</v>
      </c>
      <c r="J1883">
        <v>100</v>
      </c>
      <c r="K1883">
        <v>100</v>
      </c>
      <c r="L1883" s="1" t="s">
        <v>4538</v>
      </c>
      <c r="M1883" t="s">
        <v>197</v>
      </c>
      <c r="N1883">
        <v>2</v>
      </c>
    </row>
    <row r="1884" spans="1:14" x14ac:dyDescent="0.25">
      <c r="A1884" s="3" t="str">
        <f>HYPERLINK("http://www.ncbi.nlm.nih.gov/gene/26353","26353")</f>
        <v>26353</v>
      </c>
      <c r="B1884" s="1" t="s">
        <v>4540</v>
      </c>
      <c r="C1884" t="s">
        <v>4541</v>
      </c>
      <c r="D1884">
        <v>190.6</v>
      </c>
      <c r="E1884">
        <v>187.6</v>
      </c>
      <c r="F1884">
        <v>100</v>
      </c>
      <c r="G1884">
        <v>100</v>
      </c>
      <c r="H1884">
        <v>136.1</v>
      </c>
      <c r="I1884">
        <v>138</v>
      </c>
      <c r="J1884">
        <v>100</v>
      </c>
      <c r="K1884">
        <v>100</v>
      </c>
      <c r="L1884" s="1" t="s">
        <v>4540</v>
      </c>
      <c r="M1884" t="s">
        <v>718</v>
      </c>
      <c r="N1884">
        <v>2</v>
      </c>
    </row>
    <row r="1885" spans="1:14" x14ac:dyDescent="0.25">
      <c r="A1885" s="3" t="str">
        <f>HYPERLINK("http://www.ncbi.nlm.nih.gov/gene/3329","3329")</f>
        <v>3329</v>
      </c>
      <c r="B1885" s="1" t="s">
        <v>4542</v>
      </c>
      <c r="C1885" t="s">
        <v>4543</v>
      </c>
      <c r="D1885">
        <v>95.1</v>
      </c>
      <c r="E1885">
        <v>91.9</v>
      </c>
      <c r="F1885">
        <v>98.8</v>
      </c>
      <c r="G1885">
        <v>93.7</v>
      </c>
      <c r="H1885">
        <v>138.1</v>
      </c>
      <c r="I1885">
        <v>141.69999999999999</v>
      </c>
      <c r="J1885">
        <v>100</v>
      </c>
      <c r="K1885">
        <v>100</v>
      </c>
      <c r="L1885" s="1" t="s">
        <v>4542</v>
      </c>
      <c r="M1885" t="s">
        <v>4544</v>
      </c>
      <c r="N1885">
        <v>5</v>
      </c>
    </row>
    <row r="1886" spans="1:14" x14ac:dyDescent="0.25">
      <c r="A1886" s="3" t="str">
        <f>HYPERLINK("http://www.ncbi.nlm.nih.gov/gene/3339","3339")</f>
        <v>3339</v>
      </c>
      <c r="B1886" s="1" t="s">
        <v>4545</v>
      </c>
      <c r="C1886" t="s">
        <v>4546</v>
      </c>
      <c r="D1886">
        <v>119.1</v>
      </c>
      <c r="E1886">
        <v>122.2</v>
      </c>
      <c r="F1886">
        <v>99.2</v>
      </c>
      <c r="G1886">
        <v>97.7</v>
      </c>
      <c r="H1886">
        <v>158.30000000000001</v>
      </c>
      <c r="I1886">
        <v>162.69999999999999</v>
      </c>
      <c r="J1886">
        <v>100</v>
      </c>
      <c r="K1886">
        <v>99.9</v>
      </c>
      <c r="L1886" s="1" t="s">
        <v>4545</v>
      </c>
      <c r="M1886" t="s">
        <v>4547</v>
      </c>
      <c r="N1886">
        <v>6</v>
      </c>
    </row>
    <row r="1887" spans="1:14" x14ac:dyDescent="0.25">
      <c r="A1887" s="3" t="str">
        <f>HYPERLINK("http://www.ncbi.nlm.nih.gov/gene/3350","3350")</f>
        <v>3350</v>
      </c>
      <c r="B1887" s="1" t="s">
        <v>4548</v>
      </c>
      <c r="C1887" t="s">
        <v>4549</v>
      </c>
      <c r="D1887">
        <v>173.3</v>
      </c>
      <c r="E1887">
        <v>159.4</v>
      </c>
      <c r="F1887">
        <v>100</v>
      </c>
      <c r="G1887">
        <v>100</v>
      </c>
      <c r="H1887">
        <v>166</v>
      </c>
      <c r="I1887">
        <v>162.9</v>
      </c>
      <c r="J1887">
        <v>100</v>
      </c>
      <c r="K1887">
        <v>100</v>
      </c>
      <c r="L1887" s="1" t="s">
        <v>4548</v>
      </c>
      <c r="M1887" t="s">
        <v>285</v>
      </c>
      <c r="N1887">
        <v>1</v>
      </c>
    </row>
    <row r="1888" spans="1:14" x14ac:dyDescent="0.25">
      <c r="A1888" s="3" t="str">
        <f>HYPERLINK("http://www.ncbi.nlm.nih.gov/gene/5654","5654")</f>
        <v>5654</v>
      </c>
      <c r="B1888" s="1" t="s">
        <v>4550</v>
      </c>
      <c r="C1888" t="s">
        <v>4551</v>
      </c>
      <c r="D1888">
        <v>93.1</v>
      </c>
      <c r="E1888">
        <v>92.1</v>
      </c>
      <c r="F1888">
        <v>75.8</v>
      </c>
      <c r="G1888">
        <v>72.3</v>
      </c>
      <c r="H1888">
        <v>92.7</v>
      </c>
      <c r="I1888">
        <v>95</v>
      </c>
      <c r="J1888">
        <v>87.2</v>
      </c>
      <c r="K1888">
        <v>83.2</v>
      </c>
      <c r="L1888" s="1" t="s">
        <v>4550</v>
      </c>
      <c r="M1888" t="s">
        <v>4552</v>
      </c>
      <c r="N1888">
        <v>3</v>
      </c>
    </row>
    <row r="1889" spans="1:14" x14ac:dyDescent="0.25">
      <c r="A1889" s="3" t="str">
        <f>HYPERLINK("http://www.ncbi.nlm.nih.gov/gene/27429","27429")</f>
        <v>27429</v>
      </c>
      <c r="B1889" s="1" t="s">
        <v>4553</v>
      </c>
      <c r="C1889" t="s">
        <v>4554</v>
      </c>
      <c r="D1889">
        <v>140.1</v>
      </c>
      <c r="E1889">
        <v>138</v>
      </c>
      <c r="F1889">
        <v>100</v>
      </c>
      <c r="G1889">
        <v>99.9</v>
      </c>
      <c r="H1889">
        <v>137.6</v>
      </c>
      <c r="I1889">
        <v>139.9</v>
      </c>
      <c r="J1889">
        <v>100</v>
      </c>
      <c r="K1889">
        <v>100</v>
      </c>
      <c r="L1889" s="1" t="s">
        <v>4553</v>
      </c>
      <c r="M1889" t="s">
        <v>1330</v>
      </c>
      <c r="N1889">
        <v>5</v>
      </c>
    </row>
    <row r="1890" spans="1:14" x14ac:dyDescent="0.25">
      <c r="A1890" s="3" t="str">
        <f>HYPERLINK("http://www.ncbi.nlm.nih.gov/gene/3064","3064")</f>
        <v>3064</v>
      </c>
      <c r="B1890" s="1" t="s">
        <v>4555</v>
      </c>
      <c r="C1890" t="s">
        <v>4556</v>
      </c>
      <c r="D1890">
        <v>140.19999999999999</v>
      </c>
      <c r="E1890">
        <v>146</v>
      </c>
      <c r="F1890">
        <v>97.8</v>
      </c>
      <c r="G1890">
        <v>96.6</v>
      </c>
      <c r="H1890">
        <v>129.4</v>
      </c>
      <c r="I1890">
        <v>133.4</v>
      </c>
      <c r="J1890">
        <v>100</v>
      </c>
      <c r="K1890">
        <v>99.9</v>
      </c>
      <c r="L1890" s="1" t="s">
        <v>4555</v>
      </c>
      <c r="M1890" t="s">
        <v>4557</v>
      </c>
      <c r="N1890">
        <v>1</v>
      </c>
    </row>
    <row r="1891" spans="1:14" x14ac:dyDescent="0.25">
      <c r="A1891" s="3" t="str">
        <f>HYPERLINK("http://www.ncbi.nlm.nih.gov/gene/10075","10075")</f>
        <v>10075</v>
      </c>
      <c r="B1891" s="1" t="s">
        <v>4558</v>
      </c>
      <c r="C1891" t="s">
        <v>4559</v>
      </c>
      <c r="D1891">
        <v>91.5</v>
      </c>
      <c r="E1891">
        <v>94.5</v>
      </c>
      <c r="F1891">
        <v>99.2</v>
      </c>
      <c r="G1891">
        <v>95.8</v>
      </c>
      <c r="H1891">
        <v>128.5</v>
      </c>
      <c r="I1891">
        <v>131.9</v>
      </c>
      <c r="J1891">
        <v>100</v>
      </c>
      <c r="K1891">
        <v>100</v>
      </c>
      <c r="L1891" s="1" t="s">
        <v>4558</v>
      </c>
      <c r="M1891" t="s">
        <v>4560</v>
      </c>
      <c r="N1891">
        <v>3</v>
      </c>
    </row>
    <row r="1892" spans="1:14" x14ac:dyDescent="0.25">
      <c r="A1892" s="3" t="str">
        <f>HYPERLINK("http://www.ncbi.nlm.nih.gov/gene/3373","3373")</f>
        <v>3373</v>
      </c>
      <c r="B1892" s="1" t="s">
        <v>4561</v>
      </c>
      <c r="C1892" t="s">
        <v>4562</v>
      </c>
      <c r="D1892">
        <v>114.4</v>
      </c>
      <c r="E1892">
        <v>115</v>
      </c>
      <c r="F1892">
        <v>100</v>
      </c>
      <c r="G1892">
        <v>100</v>
      </c>
      <c r="H1892">
        <v>156</v>
      </c>
      <c r="I1892">
        <v>158.6</v>
      </c>
      <c r="J1892">
        <v>100</v>
      </c>
      <c r="K1892">
        <v>100</v>
      </c>
      <c r="L1892" s="1" t="s">
        <v>4561</v>
      </c>
      <c r="M1892" t="s">
        <v>422</v>
      </c>
      <c r="N1892">
        <v>4</v>
      </c>
    </row>
    <row r="1893" spans="1:14" x14ac:dyDescent="0.25">
      <c r="A1893" s="3" t="str">
        <f>HYPERLINK("http://www.ncbi.nlm.nih.gov/gene/8692","8692")</f>
        <v>8692</v>
      </c>
      <c r="B1893" s="1" t="s">
        <v>4563</v>
      </c>
      <c r="C1893" t="s">
        <v>4564</v>
      </c>
      <c r="D1893">
        <v>165.4</v>
      </c>
      <c r="E1893">
        <v>175.3</v>
      </c>
      <c r="F1893">
        <v>100</v>
      </c>
      <c r="G1893">
        <v>100</v>
      </c>
      <c r="H1893">
        <v>148.6</v>
      </c>
      <c r="I1893">
        <v>149.5</v>
      </c>
      <c r="J1893">
        <v>100</v>
      </c>
      <c r="K1893">
        <v>100</v>
      </c>
      <c r="L1893" s="1" t="s">
        <v>4563</v>
      </c>
      <c r="M1893" t="s">
        <v>158</v>
      </c>
      <c r="N1893">
        <v>2</v>
      </c>
    </row>
    <row r="1894" spans="1:14" x14ac:dyDescent="0.25">
      <c r="A1894" s="3" t="str">
        <f>HYPERLINK("http://www.ncbi.nlm.nih.gov/gene/54768","54768")</f>
        <v>54768</v>
      </c>
      <c r="B1894" s="1" t="s">
        <v>4565</v>
      </c>
      <c r="C1894" t="s">
        <v>4566</v>
      </c>
      <c r="D1894">
        <v>126.8</v>
      </c>
      <c r="E1894">
        <v>130.9</v>
      </c>
      <c r="F1894">
        <v>99.9</v>
      </c>
      <c r="G1894">
        <v>99.3</v>
      </c>
      <c r="H1894">
        <v>145.19999999999999</v>
      </c>
      <c r="I1894">
        <v>149.6</v>
      </c>
      <c r="J1894">
        <v>100</v>
      </c>
      <c r="K1894">
        <v>100</v>
      </c>
      <c r="L1894" s="1" t="s">
        <v>4565</v>
      </c>
      <c r="M1894" t="s">
        <v>1483</v>
      </c>
      <c r="N1894">
        <v>3</v>
      </c>
    </row>
    <row r="1895" spans="1:14" x14ac:dyDescent="0.25">
      <c r="A1895" s="3" t="str">
        <f>HYPERLINK("http://www.ncbi.nlm.nih.gov/gene/219844","219844")</f>
        <v>219844</v>
      </c>
      <c r="B1895" s="1" t="s">
        <v>4567</v>
      </c>
      <c r="C1895" t="s">
        <v>4568</v>
      </c>
      <c r="D1895">
        <v>182.2</v>
      </c>
      <c r="E1895">
        <v>183.5</v>
      </c>
      <c r="F1895">
        <v>100</v>
      </c>
      <c r="G1895">
        <v>100</v>
      </c>
      <c r="H1895">
        <v>145.5</v>
      </c>
      <c r="I1895">
        <v>150.4</v>
      </c>
      <c r="J1895">
        <v>100</v>
      </c>
      <c r="K1895">
        <v>100</v>
      </c>
      <c r="L1895" s="1" t="s">
        <v>4567</v>
      </c>
      <c r="M1895" t="s">
        <v>4569</v>
      </c>
      <c r="N1895">
        <v>6</v>
      </c>
    </row>
    <row r="1896" spans="1:14" x14ac:dyDescent="0.25">
      <c r="A1896" s="3" t="str">
        <f>HYPERLINK("http://www.ncbi.nlm.nih.gov/gene/10525","10525")</f>
        <v>10525</v>
      </c>
      <c r="B1896" s="1" t="s">
        <v>4570</v>
      </c>
      <c r="C1896" t="s">
        <v>4571</v>
      </c>
      <c r="D1896">
        <v>148.1</v>
      </c>
      <c r="E1896">
        <v>153</v>
      </c>
      <c r="F1896">
        <v>100</v>
      </c>
      <c r="G1896">
        <v>99.5</v>
      </c>
      <c r="H1896">
        <v>141.4</v>
      </c>
      <c r="I1896">
        <v>145.1</v>
      </c>
      <c r="J1896">
        <v>100</v>
      </c>
      <c r="K1896">
        <v>100</v>
      </c>
      <c r="L1896" s="1" t="s">
        <v>4570</v>
      </c>
      <c r="M1896" t="s">
        <v>502</v>
      </c>
      <c r="N1896">
        <v>2</v>
      </c>
    </row>
    <row r="1897" spans="1:14" x14ac:dyDescent="0.25">
      <c r="A1897" s="3" t="str">
        <f>HYPERLINK("http://www.ncbi.nlm.nih.gov/gene/3376","3376")</f>
        <v>3376</v>
      </c>
      <c r="B1897" s="1" t="s">
        <v>4572</v>
      </c>
      <c r="C1897" t="s">
        <v>4573</v>
      </c>
      <c r="D1897">
        <v>145.5</v>
      </c>
      <c r="E1897">
        <v>150.19999999999999</v>
      </c>
      <c r="F1897">
        <v>100</v>
      </c>
      <c r="G1897">
        <v>99.6</v>
      </c>
      <c r="H1897">
        <v>131.19999999999999</v>
      </c>
      <c r="I1897">
        <v>134.5</v>
      </c>
      <c r="J1897">
        <v>100</v>
      </c>
      <c r="K1897">
        <v>100</v>
      </c>
      <c r="L1897" s="1" t="s">
        <v>4572</v>
      </c>
      <c r="M1897" t="s">
        <v>4574</v>
      </c>
      <c r="N1897">
        <v>4</v>
      </c>
    </row>
    <row r="1898" spans="1:14" x14ac:dyDescent="0.25">
      <c r="A1898" s="3" t="str">
        <f>HYPERLINK("http://www.ncbi.nlm.nih.gov/gene/55699","55699")</f>
        <v>55699</v>
      </c>
      <c r="B1898" s="1" t="s">
        <v>4575</v>
      </c>
      <c r="C1898" t="s">
        <v>4576</v>
      </c>
      <c r="D1898">
        <v>165.3</v>
      </c>
      <c r="E1898">
        <v>170.4</v>
      </c>
      <c r="F1898">
        <v>100</v>
      </c>
      <c r="G1898">
        <v>99.9</v>
      </c>
      <c r="H1898">
        <v>129.5</v>
      </c>
      <c r="I1898">
        <v>133.19999999999999</v>
      </c>
      <c r="J1898">
        <v>100</v>
      </c>
      <c r="K1898">
        <v>100</v>
      </c>
      <c r="L1898" s="1" t="s">
        <v>4575</v>
      </c>
      <c r="M1898" t="s">
        <v>4577</v>
      </c>
      <c r="N1898">
        <v>5</v>
      </c>
    </row>
    <row r="1899" spans="1:14" x14ac:dyDescent="0.25">
      <c r="A1899" s="3" t="str">
        <f>HYPERLINK("http://www.ncbi.nlm.nih.gov/gene/200205","200205")</f>
        <v>200205</v>
      </c>
      <c r="B1899" s="1" t="s">
        <v>4578</v>
      </c>
      <c r="C1899" t="s">
        <v>4579</v>
      </c>
      <c r="D1899">
        <v>112.7</v>
      </c>
      <c r="E1899">
        <v>117.3</v>
      </c>
      <c r="F1899">
        <v>93.7</v>
      </c>
      <c r="G1899">
        <v>90.1</v>
      </c>
      <c r="H1899">
        <v>130.9</v>
      </c>
      <c r="I1899">
        <v>132.9</v>
      </c>
      <c r="J1899">
        <v>100</v>
      </c>
      <c r="K1899">
        <v>100</v>
      </c>
      <c r="L1899" s="1" t="s">
        <v>4578</v>
      </c>
      <c r="M1899" t="s">
        <v>597</v>
      </c>
      <c r="N1899">
        <v>5</v>
      </c>
    </row>
    <row r="1900" spans="1:14" x14ac:dyDescent="0.25">
      <c r="A1900" s="3" t="str">
        <f>HYPERLINK("http://www.ncbi.nlm.nih.gov/gene/29851","29851")</f>
        <v>29851</v>
      </c>
      <c r="B1900" s="1" t="s">
        <v>4580</v>
      </c>
      <c r="C1900" t="s">
        <v>4581</v>
      </c>
      <c r="D1900">
        <v>179.6</v>
      </c>
      <c r="E1900">
        <v>184.9</v>
      </c>
      <c r="F1900">
        <v>99.9</v>
      </c>
      <c r="G1900">
        <v>99.8</v>
      </c>
      <c r="H1900">
        <v>124.5</v>
      </c>
      <c r="I1900">
        <v>126.9</v>
      </c>
      <c r="J1900">
        <v>100</v>
      </c>
      <c r="K1900">
        <v>100</v>
      </c>
      <c r="L1900" s="1" t="s">
        <v>4580</v>
      </c>
      <c r="M1900" t="s">
        <v>1097</v>
      </c>
      <c r="N1900">
        <v>3</v>
      </c>
    </row>
    <row r="1901" spans="1:14" x14ac:dyDescent="0.25">
      <c r="A1901" s="3" t="str">
        <f>HYPERLINK("http://www.ncbi.nlm.nih.gov/gene/23308","23308")</f>
        <v>23308</v>
      </c>
      <c r="B1901" s="1" t="s">
        <v>4582</v>
      </c>
      <c r="C1901" t="s">
        <v>4583</v>
      </c>
      <c r="D1901">
        <v>152.4</v>
      </c>
      <c r="E1901">
        <v>161.69999999999999</v>
      </c>
      <c r="F1901">
        <v>99.5</v>
      </c>
      <c r="G1901">
        <v>98.8</v>
      </c>
      <c r="H1901">
        <v>253.2</v>
      </c>
      <c r="I1901">
        <v>248.1</v>
      </c>
      <c r="J1901">
        <v>100</v>
      </c>
      <c r="K1901">
        <v>100</v>
      </c>
      <c r="L1901" s="1" t="s">
        <v>4582</v>
      </c>
      <c r="M1901" t="s">
        <v>502</v>
      </c>
      <c r="N1901">
        <v>2</v>
      </c>
    </row>
    <row r="1902" spans="1:14" x14ac:dyDescent="0.25">
      <c r="A1902" s="3" t="str">
        <f>HYPERLINK("http://www.ncbi.nlm.nih.gov/gene/3400","3400")</f>
        <v>3400</v>
      </c>
      <c r="B1902" s="1" t="s">
        <v>4584</v>
      </c>
      <c r="C1902" t="s">
        <v>4585</v>
      </c>
      <c r="D1902">
        <v>139.6</v>
      </c>
      <c r="E1902">
        <v>129.80000000000001</v>
      </c>
      <c r="F1902">
        <v>87.6</v>
      </c>
      <c r="G1902">
        <v>82.5</v>
      </c>
      <c r="H1902">
        <v>84.8</v>
      </c>
      <c r="I1902">
        <v>85.4</v>
      </c>
      <c r="J1902">
        <v>98.9</v>
      </c>
      <c r="K1902">
        <v>93.1</v>
      </c>
      <c r="L1902" s="1" t="s">
        <v>4584</v>
      </c>
      <c r="M1902" t="s">
        <v>1253</v>
      </c>
      <c r="N1902">
        <v>2</v>
      </c>
    </row>
    <row r="1903" spans="1:14" x14ac:dyDescent="0.25">
      <c r="A1903" s="3" t="str">
        <f>HYPERLINK("http://www.ncbi.nlm.nih.gov/gene/3417","3417")</f>
        <v>3417</v>
      </c>
      <c r="B1903" s="1" t="s">
        <v>4586</v>
      </c>
      <c r="C1903" t="s">
        <v>4587</v>
      </c>
      <c r="D1903">
        <v>86.8</v>
      </c>
      <c r="E1903">
        <v>91.4</v>
      </c>
      <c r="F1903">
        <v>93.3</v>
      </c>
      <c r="G1903">
        <v>80.099999999999994</v>
      </c>
      <c r="H1903">
        <v>139.6</v>
      </c>
      <c r="I1903">
        <v>144.4</v>
      </c>
      <c r="J1903">
        <v>100</v>
      </c>
      <c r="K1903">
        <v>100</v>
      </c>
      <c r="L1903" s="1" t="s">
        <v>4586</v>
      </c>
      <c r="M1903" t="s">
        <v>1614</v>
      </c>
      <c r="N1903">
        <v>3</v>
      </c>
    </row>
    <row r="1904" spans="1:14" x14ac:dyDescent="0.25">
      <c r="A1904" s="3" t="str">
        <f>HYPERLINK("http://www.ncbi.nlm.nih.gov/gene/3418","3418")</f>
        <v>3418</v>
      </c>
      <c r="B1904" s="1" t="s">
        <v>4588</v>
      </c>
      <c r="C1904" t="s">
        <v>4589</v>
      </c>
      <c r="D1904">
        <v>108</v>
      </c>
      <c r="E1904">
        <v>111.5</v>
      </c>
      <c r="F1904">
        <v>99.7</v>
      </c>
      <c r="G1904">
        <v>97.4</v>
      </c>
      <c r="H1904">
        <v>134.80000000000001</v>
      </c>
      <c r="I1904">
        <v>138.1</v>
      </c>
      <c r="J1904">
        <v>100</v>
      </c>
      <c r="K1904">
        <v>99.8</v>
      </c>
      <c r="L1904" s="1" t="s">
        <v>4588</v>
      </c>
      <c r="M1904" t="s">
        <v>4590</v>
      </c>
      <c r="N1904">
        <v>5</v>
      </c>
    </row>
    <row r="1905" spans="1:14" x14ac:dyDescent="0.25">
      <c r="A1905" s="3" t="str">
        <f>HYPERLINK("http://www.ncbi.nlm.nih.gov/gene/3419","3419")</f>
        <v>3419</v>
      </c>
      <c r="B1905" s="1" t="s">
        <v>4591</v>
      </c>
      <c r="C1905" t="s">
        <v>4592</v>
      </c>
      <c r="D1905">
        <v>152.80000000000001</v>
      </c>
      <c r="E1905">
        <v>159.5</v>
      </c>
      <c r="F1905">
        <v>99.4</v>
      </c>
      <c r="G1905">
        <v>97.3</v>
      </c>
      <c r="H1905">
        <v>139.5</v>
      </c>
      <c r="I1905">
        <v>142.9</v>
      </c>
      <c r="J1905">
        <v>100</v>
      </c>
      <c r="K1905">
        <v>100</v>
      </c>
      <c r="L1905" s="1" t="s">
        <v>4591</v>
      </c>
      <c r="M1905" t="s">
        <v>817</v>
      </c>
      <c r="N1905">
        <v>2</v>
      </c>
    </row>
    <row r="1906" spans="1:14" x14ac:dyDescent="0.25">
      <c r="A1906" s="3" t="str">
        <f>HYPERLINK("http://www.ncbi.nlm.nih.gov/gene/3420","3420")</f>
        <v>3420</v>
      </c>
      <c r="B1906" s="1" t="s">
        <v>4593</v>
      </c>
      <c r="C1906" t="s">
        <v>4594</v>
      </c>
      <c r="D1906">
        <v>149.6</v>
      </c>
      <c r="E1906">
        <v>150.19999999999999</v>
      </c>
      <c r="F1906">
        <v>95.4</v>
      </c>
      <c r="G1906">
        <v>95.4</v>
      </c>
      <c r="H1906">
        <v>149.1</v>
      </c>
      <c r="I1906">
        <v>151.6</v>
      </c>
      <c r="J1906">
        <v>100</v>
      </c>
      <c r="K1906">
        <v>100</v>
      </c>
      <c r="L1906" s="1" t="s">
        <v>4593</v>
      </c>
      <c r="M1906" t="s">
        <v>1745</v>
      </c>
      <c r="N1906">
        <v>4</v>
      </c>
    </row>
    <row r="1907" spans="1:14" x14ac:dyDescent="0.25">
      <c r="A1907" s="3" t="str">
        <f>HYPERLINK("http://www.ncbi.nlm.nih.gov/gene/3422","3422")</f>
        <v>3422</v>
      </c>
      <c r="B1907" s="1" t="s">
        <v>4595</v>
      </c>
      <c r="C1907" t="s">
        <v>4596</v>
      </c>
      <c r="D1907">
        <v>69.8</v>
      </c>
      <c r="E1907">
        <v>70.2</v>
      </c>
      <c r="F1907">
        <v>99.8</v>
      </c>
      <c r="G1907">
        <v>97.6</v>
      </c>
      <c r="H1907">
        <v>141.4</v>
      </c>
      <c r="I1907">
        <v>145.4</v>
      </c>
      <c r="J1907">
        <v>100</v>
      </c>
      <c r="K1907">
        <v>100</v>
      </c>
      <c r="L1907" s="1" t="s">
        <v>4595</v>
      </c>
      <c r="M1907" t="s">
        <v>93</v>
      </c>
      <c r="N1907">
        <v>2</v>
      </c>
    </row>
    <row r="1908" spans="1:14" x14ac:dyDescent="0.25">
      <c r="A1908" s="3" t="str">
        <f>HYPERLINK("http://www.ncbi.nlm.nih.gov/gene/3423","3423")</f>
        <v>3423</v>
      </c>
      <c r="B1908" s="1" t="s">
        <v>4597</v>
      </c>
      <c r="C1908" t="s">
        <v>4598</v>
      </c>
      <c r="D1908">
        <v>105</v>
      </c>
      <c r="E1908">
        <v>110.5</v>
      </c>
      <c r="F1908">
        <v>99.9</v>
      </c>
      <c r="G1908">
        <v>98</v>
      </c>
      <c r="H1908">
        <v>136.9</v>
      </c>
      <c r="I1908">
        <v>140.1</v>
      </c>
      <c r="J1908">
        <v>100</v>
      </c>
      <c r="K1908">
        <v>100</v>
      </c>
      <c r="L1908" s="1" t="s">
        <v>4597</v>
      </c>
      <c r="M1908" t="s">
        <v>4599</v>
      </c>
      <c r="N1908">
        <v>4</v>
      </c>
    </row>
    <row r="1909" spans="1:14" x14ac:dyDescent="0.25">
      <c r="A1909" s="3" t="str">
        <f>HYPERLINK("http://www.ncbi.nlm.nih.gov/gene/3425","3425")</f>
        <v>3425</v>
      </c>
      <c r="B1909" s="1" t="s">
        <v>4600</v>
      </c>
      <c r="C1909" t="s">
        <v>4601</v>
      </c>
      <c r="D1909">
        <v>124.1</v>
      </c>
      <c r="E1909">
        <v>128.6</v>
      </c>
      <c r="F1909">
        <v>93.7</v>
      </c>
      <c r="G1909">
        <v>86.8</v>
      </c>
      <c r="H1909">
        <v>132.6</v>
      </c>
      <c r="I1909">
        <v>135.4</v>
      </c>
      <c r="J1909">
        <v>100</v>
      </c>
      <c r="K1909">
        <v>100</v>
      </c>
      <c r="L1909" s="1" t="s">
        <v>4600</v>
      </c>
      <c r="M1909" t="s">
        <v>4602</v>
      </c>
      <c r="N1909">
        <v>8</v>
      </c>
    </row>
    <row r="1910" spans="1:14" x14ac:dyDescent="0.25">
      <c r="A1910" s="3" t="str">
        <f>HYPERLINK("http://www.ncbi.nlm.nih.gov/gene/51124","51124")</f>
        <v>51124</v>
      </c>
      <c r="B1910" s="1" t="s">
        <v>4603</v>
      </c>
      <c r="C1910" t="s">
        <v>4604</v>
      </c>
      <c r="D1910">
        <v>101</v>
      </c>
      <c r="E1910">
        <v>102.4</v>
      </c>
      <c r="F1910">
        <v>91.9</v>
      </c>
      <c r="G1910">
        <v>82.6</v>
      </c>
      <c r="H1910">
        <v>141.69999999999999</v>
      </c>
      <c r="I1910">
        <v>143.9</v>
      </c>
      <c r="J1910">
        <v>100</v>
      </c>
      <c r="K1910">
        <v>100</v>
      </c>
      <c r="L1910" s="1" t="s">
        <v>4603</v>
      </c>
      <c r="M1910" t="s">
        <v>1220</v>
      </c>
      <c r="N1910">
        <v>4</v>
      </c>
    </row>
    <row r="1911" spans="1:14" x14ac:dyDescent="0.25">
      <c r="A1911" s="3" t="str">
        <f>HYPERLINK("http://www.ncbi.nlm.nih.gov/gene/64135","64135")</f>
        <v>64135</v>
      </c>
      <c r="B1911" s="1" t="s">
        <v>4605</v>
      </c>
      <c r="C1911" t="s">
        <v>4606</v>
      </c>
      <c r="D1911">
        <v>129.69999999999999</v>
      </c>
      <c r="E1911">
        <v>137.30000000000001</v>
      </c>
      <c r="F1911">
        <v>99.7</v>
      </c>
      <c r="G1911">
        <v>98.4</v>
      </c>
      <c r="H1911">
        <v>138.9</v>
      </c>
      <c r="I1911">
        <v>144.5</v>
      </c>
      <c r="J1911">
        <v>100</v>
      </c>
      <c r="K1911">
        <v>100</v>
      </c>
      <c r="L1911" s="1" t="s">
        <v>4605</v>
      </c>
      <c r="M1911" t="s">
        <v>4607</v>
      </c>
      <c r="N1911">
        <v>5</v>
      </c>
    </row>
    <row r="1912" spans="1:14" x14ac:dyDescent="0.25">
      <c r="A1912" s="3" t="str">
        <f>HYPERLINK("http://www.ncbi.nlm.nih.gov/gene/387733","387733")</f>
        <v>387733</v>
      </c>
      <c r="B1912" s="1" t="s">
        <v>4608</v>
      </c>
      <c r="C1912" t="s">
        <v>4609</v>
      </c>
      <c r="D1912">
        <v>79.3</v>
      </c>
      <c r="E1912">
        <v>86.1</v>
      </c>
      <c r="F1912">
        <v>99.3</v>
      </c>
      <c r="G1912">
        <v>95.6</v>
      </c>
      <c r="H1912">
        <v>141.80000000000001</v>
      </c>
      <c r="I1912">
        <v>148.30000000000001</v>
      </c>
      <c r="J1912">
        <v>100</v>
      </c>
      <c r="K1912">
        <v>100</v>
      </c>
      <c r="L1912" s="1" t="s">
        <v>4608</v>
      </c>
      <c r="M1912" t="s">
        <v>1253</v>
      </c>
      <c r="N1912">
        <v>2</v>
      </c>
    </row>
    <row r="1913" spans="1:14" x14ac:dyDescent="0.25">
      <c r="A1913" s="3" t="str">
        <f>HYPERLINK("http://www.ncbi.nlm.nih.gov/gene/3454","3454")</f>
        <v>3454</v>
      </c>
      <c r="B1913" s="1" t="s">
        <v>4610</v>
      </c>
      <c r="C1913" t="s">
        <v>4611</v>
      </c>
      <c r="D1913">
        <v>100.8</v>
      </c>
      <c r="E1913">
        <v>101.9</v>
      </c>
      <c r="F1913">
        <v>97.7</v>
      </c>
      <c r="G1913">
        <v>97.1</v>
      </c>
      <c r="H1913">
        <v>105.3</v>
      </c>
      <c r="I1913">
        <v>108</v>
      </c>
      <c r="J1913">
        <v>97.8</v>
      </c>
      <c r="K1913">
        <v>97.8</v>
      </c>
      <c r="L1913" s="1" t="s">
        <v>4610</v>
      </c>
      <c r="M1913" t="s">
        <v>502</v>
      </c>
      <c r="N1913">
        <v>2</v>
      </c>
    </row>
    <row r="1914" spans="1:14" x14ac:dyDescent="0.25">
      <c r="A1914" s="3" t="str">
        <f>HYPERLINK("http://www.ncbi.nlm.nih.gov/gene/3455","3455")</f>
        <v>3455</v>
      </c>
      <c r="B1914" s="1" t="s">
        <v>4612</v>
      </c>
      <c r="C1914" t="s">
        <v>4613</v>
      </c>
      <c r="D1914">
        <v>159.9</v>
      </c>
      <c r="E1914">
        <v>160.19999999999999</v>
      </c>
      <c r="F1914">
        <v>100</v>
      </c>
      <c r="G1914">
        <v>99.7</v>
      </c>
      <c r="H1914">
        <v>134.4</v>
      </c>
      <c r="I1914">
        <v>138.5</v>
      </c>
      <c r="J1914">
        <v>100</v>
      </c>
      <c r="K1914">
        <v>100</v>
      </c>
      <c r="L1914" s="1" t="s">
        <v>4612</v>
      </c>
      <c r="M1914" t="s">
        <v>1097</v>
      </c>
      <c r="N1914">
        <v>3</v>
      </c>
    </row>
    <row r="1915" spans="1:14" x14ac:dyDescent="0.25">
      <c r="A1915" s="3" t="str">
        <f>HYPERLINK("http://www.ncbi.nlm.nih.gov/gene/3458","3458")</f>
        <v>3458</v>
      </c>
      <c r="B1915" s="1" t="s">
        <v>4614</v>
      </c>
      <c r="C1915" t="s">
        <v>4615</v>
      </c>
      <c r="D1915">
        <v>186.4</v>
      </c>
      <c r="E1915">
        <v>190.2</v>
      </c>
      <c r="F1915">
        <v>100</v>
      </c>
      <c r="G1915">
        <v>100</v>
      </c>
      <c r="H1915">
        <v>124.5</v>
      </c>
      <c r="I1915">
        <v>127.4</v>
      </c>
      <c r="J1915">
        <v>100</v>
      </c>
      <c r="K1915">
        <v>100</v>
      </c>
      <c r="L1915" s="1" t="s">
        <v>4614</v>
      </c>
      <c r="M1915" t="s">
        <v>4616</v>
      </c>
      <c r="N1915">
        <v>4</v>
      </c>
    </row>
    <row r="1916" spans="1:14" x14ac:dyDescent="0.25">
      <c r="A1916" s="3" t="str">
        <f>HYPERLINK("http://www.ncbi.nlm.nih.gov/gene/3459","3459")</f>
        <v>3459</v>
      </c>
      <c r="B1916" s="1" t="s">
        <v>4617</v>
      </c>
      <c r="C1916" t="s">
        <v>4618</v>
      </c>
      <c r="D1916">
        <v>158.6</v>
      </c>
      <c r="E1916">
        <v>162.4</v>
      </c>
      <c r="F1916">
        <v>98.2</v>
      </c>
      <c r="G1916">
        <v>97.5</v>
      </c>
      <c r="H1916">
        <v>127</v>
      </c>
      <c r="I1916">
        <v>130.5</v>
      </c>
      <c r="J1916">
        <v>100</v>
      </c>
      <c r="K1916">
        <v>100</v>
      </c>
      <c r="L1916" s="1" t="s">
        <v>4617</v>
      </c>
      <c r="M1916" t="s">
        <v>4619</v>
      </c>
      <c r="N1916">
        <v>3</v>
      </c>
    </row>
    <row r="1917" spans="1:14" x14ac:dyDescent="0.25">
      <c r="A1917" s="3" t="str">
        <f>HYPERLINK("http://www.ncbi.nlm.nih.gov/gene/3460","3460")</f>
        <v>3460</v>
      </c>
      <c r="B1917" s="1" t="s">
        <v>4620</v>
      </c>
      <c r="C1917" t="s">
        <v>4621</v>
      </c>
      <c r="D1917">
        <v>155.30000000000001</v>
      </c>
      <c r="E1917">
        <v>164.4</v>
      </c>
      <c r="F1917">
        <v>93.3</v>
      </c>
      <c r="G1917">
        <v>93.2</v>
      </c>
      <c r="H1917">
        <v>166.8</v>
      </c>
      <c r="I1917">
        <v>171.4</v>
      </c>
      <c r="J1917">
        <v>100</v>
      </c>
      <c r="K1917">
        <v>99.8</v>
      </c>
      <c r="L1917" s="1" t="s">
        <v>4620</v>
      </c>
      <c r="M1917" t="s">
        <v>1097</v>
      </c>
      <c r="N1917">
        <v>3</v>
      </c>
    </row>
    <row r="1918" spans="1:14" x14ac:dyDescent="0.25">
      <c r="A1918" s="3" t="str">
        <f>HYPERLINK("http://www.ncbi.nlm.nih.gov/gene/163702","163702")</f>
        <v>163702</v>
      </c>
      <c r="B1918" s="1" t="s">
        <v>4622</v>
      </c>
      <c r="C1918" t="s">
        <v>4623</v>
      </c>
      <c r="D1918">
        <v>124.1</v>
      </c>
      <c r="E1918">
        <v>122.6</v>
      </c>
      <c r="F1918">
        <v>99.4</v>
      </c>
      <c r="G1918">
        <v>97.1</v>
      </c>
      <c r="H1918">
        <v>142</v>
      </c>
      <c r="I1918">
        <v>144.69999999999999</v>
      </c>
      <c r="J1918">
        <v>100</v>
      </c>
      <c r="K1918">
        <v>100</v>
      </c>
      <c r="L1918" s="1" t="s">
        <v>4622</v>
      </c>
      <c r="M1918" t="s">
        <v>76</v>
      </c>
      <c r="N1918">
        <v>2</v>
      </c>
    </row>
    <row r="1919" spans="1:14" x14ac:dyDescent="0.25">
      <c r="A1919" s="3" t="str">
        <f>HYPERLINK("http://www.ncbi.nlm.nih.gov/gene/3475","3475")</f>
        <v>3475</v>
      </c>
      <c r="B1919" s="1" t="s">
        <v>4624</v>
      </c>
      <c r="C1919" t="s">
        <v>4625</v>
      </c>
      <c r="D1919">
        <v>150</v>
      </c>
      <c r="E1919">
        <v>155.4</v>
      </c>
      <c r="F1919">
        <v>99.7</v>
      </c>
      <c r="G1919">
        <v>98.6</v>
      </c>
      <c r="H1919">
        <v>135.80000000000001</v>
      </c>
      <c r="I1919">
        <v>138.9</v>
      </c>
      <c r="J1919">
        <v>100</v>
      </c>
      <c r="K1919">
        <v>100</v>
      </c>
      <c r="L1919" s="1" t="s">
        <v>4624</v>
      </c>
      <c r="M1919" t="s">
        <v>4626</v>
      </c>
      <c r="N1919">
        <v>2</v>
      </c>
    </row>
    <row r="1920" spans="1:14" x14ac:dyDescent="0.25">
      <c r="A1920" s="3" t="str">
        <f>HYPERLINK("http://www.ncbi.nlm.nih.gov/gene/55764","55764")</f>
        <v>55764</v>
      </c>
      <c r="B1920" s="1" t="s">
        <v>4627</v>
      </c>
      <c r="C1920" t="s">
        <v>4628</v>
      </c>
      <c r="D1920">
        <v>135.30000000000001</v>
      </c>
      <c r="E1920">
        <v>140.5</v>
      </c>
      <c r="F1920">
        <v>100</v>
      </c>
      <c r="G1920">
        <v>99.6</v>
      </c>
      <c r="H1920">
        <v>132.9</v>
      </c>
      <c r="I1920">
        <v>136.5</v>
      </c>
      <c r="J1920">
        <v>100</v>
      </c>
      <c r="K1920">
        <v>100</v>
      </c>
      <c r="L1920" s="1" t="s">
        <v>4627</v>
      </c>
      <c r="M1920" t="s">
        <v>4629</v>
      </c>
      <c r="N1920">
        <v>7</v>
      </c>
    </row>
    <row r="1921" spans="1:14" x14ac:dyDescent="0.25">
      <c r="A1921" s="3" t="str">
        <f>HYPERLINK("http://www.ncbi.nlm.nih.gov/gene/9742","9742")</f>
        <v>9742</v>
      </c>
      <c r="B1921" s="1" t="s">
        <v>4630</v>
      </c>
      <c r="C1921" t="s">
        <v>4631</v>
      </c>
      <c r="D1921">
        <v>119.3</v>
      </c>
      <c r="E1921">
        <v>124.5</v>
      </c>
      <c r="F1921">
        <v>99.8</v>
      </c>
      <c r="G1921">
        <v>98.8</v>
      </c>
      <c r="H1921">
        <v>147.6</v>
      </c>
      <c r="I1921">
        <v>152.30000000000001</v>
      </c>
      <c r="J1921">
        <v>100</v>
      </c>
      <c r="K1921">
        <v>100</v>
      </c>
      <c r="L1921" s="1" t="s">
        <v>4630</v>
      </c>
      <c r="M1921" t="s">
        <v>4632</v>
      </c>
      <c r="N1921">
        <v>8</v>
      </c>
    </row>
    <row r="1922" spans="1:14" x14ac:dyDescent="0.25">
      <c r="A1922" s="3" t="str">
        <f>HYPERLINK("http://www.ncbi.nlm.nih.gov/gene/26160","26160")</f>
        <v>26160</v>
      </c>
      <c r="B1922" s="1" t="s">
        <v>4633</v>
      </c>
      <c r="C1922" t="s">
        <v>4634</v>
      </c>
      <c r="D1922">
        <v>104.8</v>
      </c>
      <c r="E1922">
        <v>107.8</v>
      </c>
      <c r="F1922">
        <v>99.9</v>
      </c>
      <c r="G1922">
        <v>99.1</v>
      </c>
      <c r="H1922">
        <v>142.30000000000001</v>
      </c>
      <c r="I1922">
        <v>145.69999999999999</v>
      </c>
      <c r="J1922">
        <v>100</v>
      </c>
      <c r="K1922">
        <v>100</v>
      </c>
      <c r="L1922" s="1" t="s">
        <v>4633</v>
      </c>
      <c r="M1922" t="s">
        <v>1477</v>
      </c>
      <c r="N1922">
        <v>9</v>
      </c>
    </row>
    <row r="1923" spans="1:14" x14ac:dyDescent="0.25">
      <c r="A1923" s="3" t="str">
        <f>HYPERLINK("http://www.ncbi.nlm.nih.gov/gene/11020","11020")</f>
        <v>11020</v>
      </c>
      <c r="B1923" s="1" t="s">
        <v>4635</v>
      </c>
      <c r="C1923" t="s">
        <v>4636</v>
      </c>
      <c r="D1923">
        <v>132.4</v>
      </c>
      <c r="E1923">
        <v>135.30000000000001</v>
      </c>
      <c r="F1923">
        <v>100</v>
      </c>
      <c r="G1923">
        <v>100</v>
      </c>
      <c r="H1923">
        <v>134.69999999999999</v>
      </c>
      <c r="I1923">
        <v>137.4</v>
      </c>
      <c r="J1923">
        <v>100</v>
      </c>
      <c r="K1923">
        <v>100</v>
      </c>
      <c r="L1923" s="1" t="s">
        <v>4635</v>
      </c>
      <c r="M1923" t="s">
        <v>1063</v>
      </c>
      <c r="N1923">
        <v>5</v>
      </c>
    </row>
    <row r="1924" spans="1:14" x14ac:dyDescent="0.25">
      <c r="A1924" s="3" t="str">
        <f>HYPERLINK("http://www.ncbi.nlm.nih.gov/gene/112752","112752")</f>
        <v>112752</v>
      </c>
      <c r="B1924" s="1" t="s">
        <v>4637</v>
      </c>
      <c r="C1924" t="s">
        <v>4638</v>
      </c>
      <c r="D1924">
        <v>131.30000000000001</v>
      </c>
      <c r="E1924">
        <v>134.30000000000001</v>
      </c>
      <c r="F1924">
        <v>100</v>
      </c>
      <c r="G1924">
        <v>100</v>
      </c>
      <c r="H1924">
        <v>122.3</v>
      </c>
      <c r="I1924">
        <v>124.2</v>
      </c>
      <c r="J1924">
        <v>100</v>
      </c>
      <c r="K1924">
        <v>100</v>
      </c>
      <c r="L1924" s="1" t="s">
        <v>4637</v>
      </c>
      <c r="M1924" t="s">
        <v>4639</v>
      </c>
      <c r="N1924">
        <v>9</v>
      </c>
    </row>
    <row r="1925" spans="1:14" x14ac:dyDescent="0.25">
      <c r="A1925" s="3" t="str">
        <f>HYPERLINK("http://www.ncbi.nlm.nih.gov/gene/51098","51098")</f>
        <v>51098</v>
      </c>
      <c r="B1925" s="1" t="s">
        <v>4640</v>
      </c>
      <c r="C1925" t="s">
        <v>4641</v>
      </c>
      <c r="D1925">
        <v>145</v>
      </c>
      <c r="E1925">
        <v>148.5</v>
      </c>
      <c r="F1925">
        <v>100</v>
      </c>
      <c r="G1925">
        <v>99.9</v>
      </c>
      <c r="H1925">
        <v>131.9</v>
      </c>
      <c r="I1925">
        <v>134.9</v>
      </c>
      <c r="J1925">
        <v>100</v>
      </c>
      <c r="K1925">
        <v>100</v>
      </c>
      <c r="L1925" s="1" t="s">
        <v>4640</v>
      </c>
      <c r="M1925" t="s">
        <v>1765</v>
      </c>
      <c r="N1925">
        <v>5</v>
      </c>
    </row>
    <row r="1926" spans="1:14" x14ac:dyDescent="0.25">
      <c r="A1926" s="3" t="str">
        <f>HYPERLINK("http://www.ncbi.nlm.nih.gov/gene/55081","55081")</f>
        <v>55081</v>
      </c>
      <c r="B1926" s="1" t="s">
        <v>4642</v>
      </c>
      <c r="C1926" t="s">
        <v>4643</v>
      </c>
      <c r="D1926">
        <v>139.6</v>
      </c>
      <c r="E1926">
        <v>147.30000000000001</v>
      </c>
      <c r="F1926">
        <v>99.9</v>
      </c>
      <c r="G1926">
        <v>99.1</v>
      </c>
      <c r="H1926">
        <v>137.80000000000001</v>
      </c>
      <c r="I1926">
        <v>141.4</v>
      </c>
      <c r="J1926">
        <v>100</v>
      </c>
      <c r="K1926">
        <v>100</v>
      </c>
      <c r="L1926" s="1" t="s">
        <v>4642</v>
      </c>
      <c r="M1926" t="s">
        <v>2164</v>
      </c>
      <c r="N1926">
        <v>3</v>
      </c>
    </row>
    <row r="1927" spans="1:14" x14ac:dyDescent="0.25">
      <c r="A1927" s="3" t="str">
        <f>HYPERLINK("http://www.ncbi.nlm.nih.gov/gene/80173","80173")</f>
        <v>80173</v>
      </c>
      <c r="B1927" s="1" t="s">
        <v>4644</v>
      </c>
      <c r="C1927" t="s">
        <v>4645</v>
      </c>
      <c r="D1927">
        <v>92.6</v>
      </c>
      <c r="E1927">
        <v>95.2</v>
      </c>
      <c r="F1927">
        <v>98.4</v>
      </c>
      <c r="G1927">
        <v>93.9</v>
      </c>
      <c r="H1927">
        <v>113.2</v>
      </c>
      <c r="I1927">
        <v>116</v>
      </c>
      <c r="J1927">
        <v>100</v>
      </c>
      <c r="K1927">
        <v>100</v>
      </c>
      <c r="L1927" s="1" t="s">
        <v>4644</v>
      </c>
      <c r="M1927" t="s">
        <v>56</v>
      </c>
      <c r="N1927">
        <v>3</v>
      </c>
    </row>
    <row r="1928" spans="1:14" x14ac:dyDescent="0.25">
      <c r="A1928" s="3" t="str">
        <f>HYPERLINK("http://www.ncbi.nlm.nih.gov/gene/57560","57560")</f>
        <v>57560</v>
      </c>
      <c r="B1928" s="1" t="s">
        <v>4646</v>
      </c>
      <c r="C1928" t="s">
        <v>4647</v>
      </c>
      <c r="D1928">
        <v>76.5</v>
      </c>
      <c r="E1928">
        <v>78.3</v>
      </c>
      <c r="F1928">
        <v>97.6</v>
      </c>
      <c r="G1928">
        <v>88.2</v>
      </c>
      <c r="H1928">
        <v>131.80000000000001</v>
      </c>
      <c r="I1928">
        <v>135.19999999999999</v>
      </c>
      <c r="J1928">
        <v>100</v>
      </c>
      <c r="K1928">
        <v>100</v>
      </c>
      <c r="L1928" s="1" t="s">
        <v>4646</v>
      </c>
      <c r="M1928" t="s">
        <v>2972</v>
      </c>
      <c r="N1928">
        <v>5</v>
      </c>
    </row>
    <row r="1929" spans="1:14" x14ac:dyDescent="0.25">
      <c r="A1929" s="3" t="str">
        <f>HYPERLINK("http://www.ncbi.nlm.nih.gov/gene/28981","28981")</f>
        <v>28981</v>
      </c>
      <c r="B1929" s="1" t="s">
        <v>4648</v>
      </c>
      <c r="C1929" t="s">
        <v>4649</v>
      </c>
      <c r="D1929">
        <v>103.1</v>
      </c>
      <c r="E1929">
        <v>108.2</v>
      </c>
      <c r="F1929">
        <v>93.5</v>
      </c>
      <c r="G1929">
        <v>90.1</v>
      </c>
      <c r="H1929">
        <v>96.4</v>
      </c>
      <c r="I1929">
        <v>99.3</v>
      </c>
      <c r="J1929">
        <v>95</v>
      </c>
      <c r="K1929">
        <v>94.9</v>
      </c>
      <c r="L1929" s="1" t="s">
        <v>4648</v>
      </c>
      <c r="M1929" t="s">
        <v>4650</v>
      </c>
      <c r="N1929">
        <v>6</v>
      </c>
    </row>
    <row r="1930" spans="1:14" x14ac:dyDescent="0.25">
      <c r="A1930" s="3" t="str">
        <f>HYPERLINK("http://www.ncbi.nlm.nih.gov/gene/8100","8100")</f>
        <v>8100</v>
      </c>
      <c r="B1930" s="1" t="s">
        <v>4651</v>
      </c>
      <c r="C1930" t="s">
        <v>4652</v>
      </c>
      <c r="D1930">
        <v>108.9</v>
      </c>
      <c r="E1930">
        <v>112</v>
      </c>
      <c r="F1930">
        <v>99.6</v>
      </c>
      <c r="G1930">
        <v>97.3</v>
      </c>
      <c r="H1930">
        <v>111.6</v>
      </c>
      <c r="I1930">
        <v>115</v>
      </c>
      <c r="J1930">
        <v>100</v>
      </c>
      <c r="K1930">
        <v>100</v>
      </c>
      <c r="L1930" s="1" t="s">
        <v>4651</v>
      </c>
      <c r="M1930" t="s">
        <v>554</v>
      </c>
      <c r="N1930">
        <v>2</v>
      </c>
    </row>
    <row r="1931" spans="1:14" x14ac:dyDescent="0.25">
      <c r="A1931" s="3" t="str">
        <f>HYPERLINK("http://www.ncbi.nlm.nih.gov/gene/3476","3476")</f>
        <v>3476</v>
      </c>
      <c r="B1931" s="1" t="s">
        <v>4653</v>
      </c>
      <c r="C1931" t="s">
        <v>4654</v>
      </c>
      <c r="D1931">
        <v>106.7</v>
      </c>
      <c r="E1931">
        <v>111.3</v>
      </c>
      <c r="F1931">
        <v>99.5</v>
      </c>
      <c r="G1931">
        <v>96.2</v>
      </c>
      <c r="H1931">
        <v>140.19999999999999</v>
      </c>
      <c r="I1931">
        <v>144.6</v>
      </c>
      <c r="J1931">
        <v>100</v>
      </c>
      <c r="K1931">
        <v>100</v>
      </c>
      <c r="L1931" s="1" t="s">
        <v>4653</v>
      </c>
      <c r="M1931" t="s">
        <v>322</v>
      </c>
      <c r="N1931">
        <v>2</v>
      </c>
    </row>
    <row r="1932" spans="1:14" x14ac:dyDescent="0.25">
      <c r="A1932" s="3" t="str">
        <f>HYPERLINK("http://www.ncbi.nlm.nih.gov/gene/3479","3479")</f>
        <v>3479</v>
      </c>
      <c r="B1932" s="1" t="s">
        <v>4655</v>
      </c>
      <c r="C1932" t="s">
        <v>4656</v>
      </c>
      <c r="D1932">
        <v>98.4</v>
      </c>
      <c r="E1932">
        <v>102.5</v>
      </c>
      <c r="F1932">
        <v>100</v>
      </c>
      <c r="G1932">
        <v>99.9</v>
      </c>
      <c r="H1932">
        <v>139.30000000000001</v>
      </c>
      <c r="I1932">
        <v>143</v>
      </c>
      <c r="J1932">
        <v>100</v>
      </c>
      <c r="K1932">
        <v>100</v>
      </c>
      <c r="L1932" s="1" t="s">
        <v>4655</v>
      </c>
      <c r="M1932" t="s">
        <v>656</v>
      </c>
      <c r="N1932">
        <v>4</v>
      </c>
    </row>
    <row r="1933" spans="1:14" x14ac:dyDescent="0.25">
      <c r="A1933" s="3" t="str">
        <f>HYPERLINK("http://www.ncbi.nlm.nih.gov/gene/3480","3480")</f>
        <v>3480</v>
      </c>
      <c r="B1933" s="1" t="s">
        <v>4657</v>
      </c>
      <c r="C1933" t="s">
        <v>4658</v>
      </c>
      <c r="D1933">
        <v>125.2</v>
      </c>
      <c r="E1933">
        <v>128.69999999999999</v>
      </c>
      <c r="F1933">
        <v>100</v>
      </c>
      <c r="G1933">
        <v>99.9</v>
      </c>
      <c r="H1933">
        <v>145.80000000000001</v>
      </c>
      <c r="I1933">
        <v>150.1</v>
      </c>
      <c r="J1933">
        <v>100</v>
      </c>
      <c r="K1933">
        <v>100</v>
      </c>
      <c r="L1933" s="1" t="s">
        <v>4657</v>
      </c>
      <c r="M1933" t="s">
        <v>4659</v>
      </c>
      <c r="N1933">
        <v>4</v>
      </c>
    </row>
    <row r="1934" spans="1:14" x14ac:dyDescent="0.25">
      <c r="A1934" s="3" t="str">
        <f>HYPERLINK("http://www.ncbi.nlm.nih.gov/gene/3481","3481")</f>
        <v>3481</v>
      </c>
      <c r="B1934" s="1" t="s">
        <v>4660</v>
      </c>
      <c r="C1934" t="s">
        <v>4661</v>
      </c>
      <c r="D1934">
        <v>115.7</v>
      </c>
      <c r="E1934">
        <v>119.6</v>
      </c>
      <c r="F1934">
        <v>100</v>
      </c>
      <c r="G1934">
        <v>100</v>
      </c>
      <c r="H1934">
        <v>179</v>
      </c>
      <c r="I1934">
        <v>185.7</v>
      </c>
      <c r="J1934">
        <v>100</v>
      </c>
      <c r="K1934">
        <v>100</v>
      </c>
      <c r="L1934" s="1" t="s">
        <v>4660</v>
      </c>
      <c r="M1934" t="s">
        <v>4662</v>
      </c>
      <c r="N1934">
        <v>2</v>
      </c>
    </row>
    <row r="1935" spans="1:14" x14ac:dyDescent="0.25">
      <c r="A1935" s="3" t="str">
        <f>HYPERLINK("http://www.ncbi.nlm.nih.gov/gene/3482","3482")</f>
        <v>3482</v>
      </c>
      <c r="B1935" s="1" t="s">
        <v>4663</v>
      </c>
      <c r="C1935" t="s">
        <v>4664</v>
      </c>
      <c r="D1935">
        <v>127</v>
      </c>
      <c r="E1935">
        <v>133.6</v>
      </c>
      <c r="F1935">
        <v>98.9</v>
      </c>
      <c r="G1935">
        <v>97.3</v>
      </c>
      <c r="H1935">
        <v>135.19999999999999</v>
      </c>
      <c r="I1935">
        <v>139.5</v>
      </c>
      <c r="J1935">
        <v>99.9</v>
      </c>
      <c r="K1935">
        <v>99.7</v>
      </c>
      <c r="L1935" s="1" t="s">
        <v>4663</v>
      </c>
      <c r="M1935" t="s">
        <v>22</v>
      </c>
      <c r="N1935">
        <v>1</v>
      </c>
    </row>
    <row r="1936" spans="1:14" x14ac:dyDescent="0.25">
      <c r="A1936" s="3" t="str">
        <f>HYPERLINK("http://www.ncbi.nlm.nih.gov/gene/3483","3483")</f>
        <v>3483</v>
      </c>
      <c r="B1936" s="1" t="s">
        <v>4665</v>
      </c>
      <c r="C1936" t="s">
        <v>4666</v>
      </c>
      <c r="D1936">
        <v>94.9</v>
      </c>
      <c r="E1936">
        <v>83.8</v>
      </c>
      <c r="F1936">
        <v>99.9</v>
      </c>
      <c r="G1936">
        <v>99.6</v>
      </c>
      <c r="H1936">
        <v>142.4</v>
      </c>
      <c r="I1936">
        <v>141.9</v>
      </c>
      <c r="J1936">
        <v>100</v>
      </c>
      <c r="K1936">
        <v>100</v>
      </c>
      <c r="L1936" s="1" t="s">
        <v>4665</v>
      </c>
      <c r="M1936" t="s">
        <v>4667</v>
      </c>
      <c r="N1936">
        <v>3</v>
      </c>
    </row>
    <row r="1937" spans="1:14" x14ac:dyDescent="0.25">
      <c r="A1937" s="3" t="str">
        <f>HYPERLINK("http://www.ncbi.nlm.nih.gov/gene/3490","3490")</f>
        <v>3490</v>
      </c>
      <c r="B1937" s="1" t="s">
        <v>4668</v>
      </c>
      <c r="C1937" t="s">
        <v>4669</v>
      </c>
      <c r="D1937">
        <v>70.400000000000006</v>
      </c>
      <c r="E1937">
        <v>73.400000000000006</v>
      </c>
      <c r="F1937">
        <v>92.7</v>
      </c>
      <c r="G1937">
        <v>87.2</v>
      </c>
      <c r="H1937">
        <v>133.6</v>
      </c>
      <c r="I1937">
        <v>132.6</v>
      </c>
      <c r="J1937">
        <v>100</v>
      </c>
      <c r="K1937">
        <v>100</v>
      </c>
      <c r="L1937" s="1" t="s">
        <v>4668</v>
      </c>
      <c r="M1937" t="s">
        <v>53</v>
      </c>
      <c r="N1937">
        <v>2</v>
      </c>
    </row>
    <row r="1938" spans="1:14" x14ac:dyDescent="0.25">
      <c r="A1938" s="3" t="str">
        <f>HYPERLINK("http://www.ncbi.nlm.nih.gov/gene/3501","3501")</f>
        <v>3501</v>
      </c>
      <c r="B1938" s="1" t="s">
        <v>4670</v>
      </c>
      <c r="D1938">
        <v>28.8</v>
      </c>
      <c r="E1938">
        <v>26.2</v>
      </c>
      <c r="F1938">
        <v>68.8</v>
      </c>
      <c r="G1938">
        <v>49.6</v>
      </c>
      <c r="H1938">
        <v>245.3</v>
      </c>
      <c r="I1938">
        <v>250.8</v>
      </c>
      <c r="J1938">
        <v>100</v>
      </c>
      <c r="K1938">
        <v>100</v>
      </c>
      <c r="L1938" s="1" t="s">
        <v>4670</v>
      </c>
      <c r="M1938" t="s">
        <v>22</v>
      </c>
      <c r="N1938">
        <v>1</v>
      </c>
    </row>
    <row r="1939" spans="1:14" x14ac:dyDescent="0.25">
      <c r="A1939" s="3" t="str">
        <f>HYPERLINK("http://www.ncbi.nlm.nih.gov/gene/3507","3507")</f>
        <v>3507</v>
      </c>
      <c r="B1939" s="1" t="s">
        <v>4671</v>
      </c>
      <c r="C1939" t="s">
        <v>4672</v>
      </c>
      <c r="D1939">
        <v>160</v>
      </c>
      <c r="E1939">
        <v>170.9</v>
      </c>
      <c r="F1939">
        <v>100</v>
      </c>
      <c r="G1939">
        <v>100</v>
      </c>
      <c r="H1939">
        <v>142.4</v>
      </c>
      <c r="I1939">
        <v>145.80000000000001</v>
      </c>
      <c r="J1939">
        <v>100</v>
      </c>
      <c r="K1939">
        <v>100</v>
      </c>
      <c r="L1939" s="1" t="s">
        <v>4671</v>
      </c>
      <c r="M1939" t="s">
        <v>1097</v>
      </c>
      <c r="N1939">
        <v>3</v>
      </c>
    </row>
    <row r="1940" spans="1:14" x14ac:dyDescent="0.25">
      <c r="A1940" s="3" t="str">
        <f>HYPERLINK("http://www.ncbi.nlm.nih.gov/gene/3508","3508")</f>
        <v>3508</v>
      </c>
      <c r="B1940" s="1" t="s">
        <v>4673</v>
      </c>
      <c r="C1940" t="s">
        <v>4674</v>
      </c>
      <c r="D1940">
        <v>113.5</v>
      </c>
      <c r="E1940">
        <v>118.2</v>
      </c>
      <c r="F1940">
        <v>98.8</v>
      </c>
      <c r="G1940">
        <v>95.1</v>
      </c>
      <c r="H1940">
        <v>140.69999999999999</v>
      </c>
      <c r="I1940">
        <v>145</v>
      </c>
      <c r="J1940">
        <v>100</v>
      </c>
      <c r="K1940">
        <v>100</v>
      </c>
      <c r="L1940" s="1" t="s">
        <v>4673</v>
      </c>
      <c r="M1940" t="s">
        <v>4675</v>
      </c>
      <c r="N1940">
        <v>5</v>
      </c>
    </row>
    <row r="1941" spans="1:14" x14ac:dyDescent="0.25">
      <c r="A1941" s="3" t="str">
        <f>HYPERLINK("http://www.ncbi.nlm.nih.gov/gene/3514","3514")</f>
        <v>3514</v>
      </c>
      <c r="B1941" s="1" t="s">
        <v>4676</v>
      </c>
      <c r="C1941" t="s">
        <v>4677</v>
      </c>
      <c r="D1941">
        <v>131.4</v>
      </c>
      <c r="E1941">
        <v>127.4</v>
      </c>
      <c r="F1941">
        <v>100</v>
      </c>
      <c r="G1941">
        <v>100</v>
      </c>
      <c r="H1941">
        <v>167.1</v>
      </c>
      <c r="I1941">
        <v>171.8</v>
      </c>
      <c r="J1941">
        <v>100</v>
      </c>
      <c r="K1941">
        <v>100</v>
      </c>
      <c r="L1941" s="1" t="s">
        <v>4676</v>
      </c>
      <c r="M1941" t="s">
        <v>53</v>
      </c>
      <c r="N1941">
        <v>2</v>
      </c>
    </row>
    <row r="1942" spans="1:14" x14ac:dyDescent="0.25">
      <c r="A1942" s="3" t="str">
        <f>HYPERLINK("http://www.ncbi.nlm.nih.gov/gene/3543","3543")</f>
        <v>3543</v>
      </c>
      <c r="B1942" s="1" t="s">
        <v>4678</v>
      </c>
      <c r="C1942" t="s">
        <v>4679</v>
      </c>
      <c r="D1942">
        <v>91.6</v>
      </c>
      <c r="E1942">
        <v>91.1</v>
      </c>
      <c r="F1942">
        <v>99.9</v>
      </c>
      <c r="G1942">
        <v>96.9</v>
      </c>
      <c r="H1942">
        <v>183.6</v>
      </c>
      <c r="I1942">
        <v>183.6</v>
      </c>
      <c r="J1942">
        <v>100</v>
      </c>
      <c r="K1942">
        <v>100</v>
      </c>
      <c r="L1942" s="1" t="s">
        <v>4678</v>
      </c>
      <c r="M1942" t="s">
        <v>1097</v>
      </c>
      <c r="N1942">
        <v>3</v>
      </c>
    </row>
    <row r="1943" spans="1:14" x14ac:dyDescent="0.25">
      <c r="A1943" s="3" t="str">
        <f>HYPERLINK("http://www.ncbi.nlm.nih.gov/gene/3547","3547")</f>
        <v>3547</v>
      </c>
      <c r="B1943" s="1" t="s">
        <v>4680</v>
      </c>
      <c r="C1943" t="s">
        <v>4681</v>
      </c>
      <c r="D1943">
        <v>84.8</v>
      </c>
      <c r="E1943">
        <v>88.4</v>
      </c>
      <c r="F1943">
        <v>99.5</v>
      </c>
      <c r="G1943">
        <v>96.3</v>
      </c>
      <c r="H1943">
        <v>133.4</v>
      </c>
      <c r="I1943">
        <v>137.4</v>
      </c>
      <c r="J1943">
        <v>100</v>
      </c>
      <c r="K1943">
        <v>100</v>
      </c>
      <c r="L1943" s="1" t="s">
        <v>4680</v>
      </c>
      <c r="M1943" t="s">
        <v>4682</v>
      </c>
      <c r="N1943">
        <v>2</v>
      </c>
    </row>
    <row r="1944" spans="1:14" x14ac:dyDescent="0.25">
      <c r="A1944" s="3" t="str">
        <f>HYPERLINK("http://www.ncbi.nlm.nih.gov/gene/285313","285313")</f>
        <v>285313</v>
      </c>
      <c r="B1944" s="1" t="s">
        <v>4683</v>
      </c>
      <c r="C1944" t="s">
        <v>4684</v>
      </c>
      <c r="D1944">
        <v>219.7</v>
      </c>
      <c r="E1944">
        <v>220</v>
      </c>
      <c r="F1944">
        <v>100</v>
      </c>
      <c r="G1944">
        <v>100</v>
      </c>
      <c r="H1944">
        <v>158</v>
      </c>
      <c r="I1944">
        <v>158.5</v>
      </c>
      <c r="J1944">
        <v>100</v>
      </c>
      <c r="K1944">
        <v>100</v>
      </c>
      <c r="L1944" s="1" t="s">
        <v>4683</v>
      </c>
      <c r="M1944" t="s">
        <v>1011</v>
      </c>
      <c r="N1944">
        <v>3</v>
      </c>
    </row>
    <row r="1945" spans="1:14" x14ac:dyDescent="0.25">
      <c r="A1945" s="3" t="str">
        <f>HYPERLINK("http://www.ncbi.nlm.nih.gov/gene/3321","3321")</f>
        <v>3321</v>
      </c>
      <c r="B1945" s="1" t="s">
        <v>4685</v>
      </c>
      <c r="C1945" t="s">
        <v>4686</v>
      </c>
      <c r="D1945">
        <v>103.4</v>
      </c>
      <c r="E1945">
        <v>101.6</v>
      </c>
      <c r="F1945">
        <v>95.4</v>
      </c>
      <c r="G1945">
        <v>94</v>
      </c>
      <c r="H1945">
        <v>164.4</v>
      </c>
      <c r="I1945">
        <v>168.4</v>
      </c>
      <c r="J1945">
        <v>100</v>
      </c>
      <c r="K1945">
        <v>100</v>
      </c>
      <c r="L1945" s="1" t="s">
        <v>4685</v>
      </c>
      <c r="M1945" t="s">
        <v>59</v>
      </c>
      <c r="N1945">
        <v>1</v>
      </c>
    </row>
    <row r="1946" spans="1:14" x14ac:dyDescent="0.25">
      <c r="A1946" s="3" t="str">
        <f>HYPERLINK("http://www.ncbi.nlm.nih.gov/gene/3549","3549")</f>
        <v>3549</v>
      </c>
      <c r="B1946" s="1" t="s">
        <v>4687</v>
      </c>
      <c r="C1946" t="s">
        <v>4688</v>
      </c>
      <c r="D1946">
        <v>146.80000000000001</v>
      </c>
      <c r="E1946">
        <v>150.30000000000001</v>
      </c>
      <c r="F1946">
        <v>100</v>
      </c>
      <c r="G1946">
        <v>100</v>
      </c>
      <c r="H1946">
        <v>159.5</v>
      </c>
      <c r="I1946">
        <v>158.19999999999999</v>
      </c>
      <c r="J1946">
        <v>100</v>
      </c>
      <c r="K1946">
        <v>100</v>
      </c>
      <c r="L1946" s="1" t="s">
        <v>4687</v>
      </c>
      <c r="M1946" t="s">
        <v>134</v>
      </c>
      <c r="N1946">
        <v>3</v>
      </c>
    </row>
    <row r="1947" spans="1:14" x14ac:dyDescent="0.25">
      <c r="A1947" s="3" t="str">
        <f>HYPERLINK("http://www.ncbi.nlm.nih.gov/gene/3551","3551")</f>
        <v>3551</v>
      </c>
      <c r="B1947" s="1" t="s">
        <v>4689</v>
      </c>
      <c r="C1947" t="s">
        <v>4690</v>
      </c>
      <c r="D1947">
        <v>130.5</v>
      </c>
      <c r="E1947">
        <v>133.80000000000001</v>
      </c>
      <c r="F1947">
        <v>99.8</v>
      </c>
      <c r="G1947">
        <v>97.4</v>
      </c>
      <c r="H1947">
        <v>123.2</v>
      </c>
      <c r="I1947">
        <v>126.4</v>
      </c>
      <c r="J1947">
        <v>100</v>
      </c>
      <c r="K1947">
        <v>100</v>
      </c>
      <c r="L1947" s="1" t="s">
        <v>4689</v>
      </c>
      <c r="M1947" t="s">
        <v>161</v>
      </c>
      <c r="N1947">
        <v>4</v>
      </c>
    </row>
    <row r="1948" spans="1:14" x14ac:dyDescent="0.25">
      <c r="A1948" s="3" t="str">
        <f>HYPERLINK("http://www.ncbi.nlm.nih.gov/gene/8517","8517")</f>
        <v>8517</v>
      </c>
      <c r="B1948" s="1" t="s">
        <v>4691</v>
      </c>
      <c r="C1948" t="s">
        <v>4692</v>
      </c>
      <c r="D1948">
        <v>60</v>
      </c>
      <c r="E1948">
        <v>62.9</v>
      </c>
      <c r="F1948">
        <v>84.1</v>
      </c>
      <c r="G1948">
        <v>77.2</v>
      </c>
      <c r="H1948">
        <v>130.5</v>
      </c>
      <c r="I1948">
        <v>134.1</v>
      </c>
      <c r="J1948">
        <v>100</v>
      </c>
      <c r="K1948">
        <v>100</v>
      </c>
      <c r="L1948" s="1" t="s">
        <v>4691</v>
      </c>
      <c r="M1948" t="s">
        <v>4693</v>
      </c>
      <c r="N1948">
        <v>6</v>
      </c>
    </row>
    <row r="1949" spans="1:14" x14ac:dyDescent="0.25">
      <c r="A1949" s="3" t="str">
        <f>HYPERLINK("http://www.ncbi.nlm.nih.gov/gene/10320","10320")</f>
        <v>10320</v>
      </c>
      <c r="B1949" s="1" t="s">
        <v>4694</v>
      </c>
      <c r="C1949" t="s">
        <v>4695</v>
      </c>
      <c r="D1949">
        <v>182.5</v>
      </c>
      <c r="E1949">
        <v>188</v>
      </c>
      <c r="F1949">
        <v>99.3</v>
      </c>
      <c r="G1949">
        <v>99.3</v>
      </c>
      <c r="H1949">
        <v>138.80000000000001</v>
      </c>
      <c r="I1949">
        <v>141.19999999999999</v>
      </c>
      <c r="J1949">
        <v>100</v>
      </c>
      <c r="K1949">
        <v>100</v>
      </c>
      <c r="L1949" s="1" t="s">
        <v>4694</v>
      </c>
      <c r="M1949" t="s">
        <v>3108</v>
      </c>
      <c r="N1949">
        <v>4</v>
      </c>
    </row>
    <row r="1950" spans="1:14" x14ac:dyDescent="0.25">
      <c r="A1950" s="3" t="str">
        <f>HYPERLINK("http://www.ncbi.nlm.nih.gov/gene/64376","64376")</f>
        <v>64376</v>
      </c>
      <c r="B1950" s="1" t="s">
        <v>4696</v>
      </c>
      <c r="C1950" t="s">
        <v>4697</v>
      </c>
      <c r="D1950">
        <v>224.6</v>
      </c>
      <c r="E1950">
        <v>176.8</v>
      </c>
      <c r="F1950">
        <v>100</v>
      </c>
      <c r="G1950">
        <v>100</v>
      </c>
      <c r="H1950">
        <v>141.9</v>
      </c>
      <c r="I1950">
        <v>142.4</v>
      </c>
      <c r="J1950">
        <v>100</v>
      </c>
      <c r="K1950">
        <v>100</v>
      </c>
      <c r="L1950" s="1" t="s">
        <v>4696</v>
      </c>
      <c r="M1950" t="s">
        <v>4698</v>
      </c>
      <c r="N1950">
        <v>3</v>
      </c>
    </row>
    <row r="1951" spans="1:14" x14ac:dyDescent="0.25">
      <c r="A1951" s="3" t="str">
        <f>HYPERLINK("http://www.ncbi.nlm.nih.gov/gene/3586","3586")</f>
        <v>3586</v>
      </c>
      <c r="B1951" s="1" t="s">
        <v>4699</v>
      </c>
      <c r="C1951" t="s">
        <v>4700</v>
      </c>
      <c r="D1951">
        <v>106.4</v>
      </c>
      <c r="E1951">
        <v>109.7</v>
      </c>
      <c r="F1951">
        <v>99.8</v>
      </c>
      <c r="G1951">
        <v>98.2</v>
      </c>
      <c r="H1951">
        <v>138.4</v>
      </c>
      <c r="I1951">
        <v>142.30000000000001</v>
      </c>
      <c r="J1951">
        <v>100</v>
      </c>
      <c r="K1951">
        <v>100</v>
      </c>
      <c r="L1951" s="1" t="s">
        <v>4699</v>
      </c>
      <c r="M1951" t="s">
        <v>4701</v>
      </c>
      <c r="N1951">
        <v>3</v>
      </c>
    </row>
    <row r="1952" spans="1:14" x14ac:dyDescent="0.25">
      <c r="A1952" s="3" t="str">
        <f>HYPERLINK("http://www.ncbi.nlm.nih.gov/gene/3587","3587")</f>
        <v>3587</v>
      </c>
      <c r="B1952" s="1" t="s">
        <v>4702</v>
      </c>
      <c r="C1952" t="s">
        <v>4703</v>
      </c>
      <c r="D1952">
        <v>154.19999999999999</v>
      </c>
      <c r="E1952">
        <v>151.80000000000001</v>
      </c>
      <c r="F1952">
        <v>100</v>
      </c>
      <c r="G1952">
        <v>100</v>
      </c>
      <c r="H1952">
        <v>148.19999999999999</v>
      </c>
      <c r="I1952">
        <v>150.19999999999999</v>
      </c>
      <c r="J1952">
        <v>100</v>
      </c>
      <c r="K1952">
        <v>100</v>
      </c>
      <c r="L1952" s="1" t="s">
        <v>4702</v>
      </c>
      <c r="M1952" t="s">
        <v>1097</v>
      </c>
      <c r="N1952">
        <v>3</v>
      </c>
    </row>
    <row r="1953" spans="1:14" x14ac:dyDescent="0.25">
      <c r="A1953" s="3" t="str">
        <f>HYPERLINK("http://www.ncbi.nlm.nih.gov/gene/3588","3588")</f>
        <v>3588</v>
      </c>
      <c r="B1953" s="1" t="s">
        <v>4704</v>
      </c>
      <c r="C1953" t="s">
        <v>4705</v>
      </c>
      <c r="D1953">
        <v>147.4</v>
      </c>
      <c r="E1953">
        <v>157.19999999999999</v>
      </c>
      <c r="F1953">
        <v>99.8</v>
      </c>
      <c r="G1953">
        <v>98</v>
      </c>
      <c r="H1953">
        <v>131.1</v>
      </c>
      <c r="I1953">
        <v>135.9</v>
      </c>
      <c r="J1953">
        <v>100</v>
      </c>
      <c r="K1953">
        <v>100</v>
      </c>
      <c r="L1953" s="1" t="s">
        <v>4704</v>
      </c>
      <c r="M1953" t="s">
        <v>1097</v>
      </c>
      <c r="N1953">
        <v>3</v>
      </c>
    </row>
    <row r="1954" spans="1:14" x14ac:dyDescent="0.25">
      <c r="A1954" s="3" t="str">
        <f>HYPERLINK("http://www.ncbi.nlm.nih.gov/gene/3590","3590")</f>
        <v>3590</v>
      </c>
      <c r="B1954" s="1" t="s">
        <v>4706</v>
      </c>
      <c r="C1954" t="s">
        <v>4707</v>
      </c>
      <c r="D1954">
        <v>154.4</v>
      </c>
      <c r="E1954">
        <v>155.5</v>
      </c>
      <c r="F1954">
        <v>100</v>
      </c>
      <c r="G1954">
        <v>99.9</v>
      </c>
      <c r="H1954">
        <v>146.4</v>
      </c>
      <c r="I1954">
        <v>150.5</v>
      </c>
      <c r="J1954">
        <v>100</v>
      </c>
      <c r="K1954">
        <v>100</v>
      </c>
      <c r="L1954" s="1" t="s">
        <v>4706</v>
      </c>
      <c r="M1954" t="s">
        <v>526</v>
      </c>
      <c r="N1954">
        <v>3</v>
      </c>
    </row>
    <row r="1955" spans="1:14" x14ac:dyDescent="0.25">
      <c r="A1955" s="3" t="str">
        <f>HYPERLINK("http://www.ncbi.nlm.nih.gov/gene/3593","3593")</f>
        <v>3593</v>
      </c>
      <c r="B1955" s="1" t="s">
        <v>4708</v>
      </c>
      <c r="C1955" t="s">
        <v>4709</v>
      </c>
      <c r="D1955">
        <v>111.4</v>
      </c>
      <c r="E1955">
        <v>118.2</v>
      </c>
      <c r="F1955">
        <v>100</v>
      </c>
      <c r="G1955">
        <v>99.3</v>
      </c>
      <c r="H1955">
        <v>141</v>
      </c>
      <c r="I1955">
        <v>146.6</v>
      </c>
      <c r="J1955">
        <v>100</v>
      </c>
      <c r="K1955">
        <v>100</v>
      </c>
      <c r="L1955" s="1" t="s">
        <v>4708</v>
      </c>
      <c r="M1955" t="s">
        <v>1097</v>
      </c>
      <c r="N1955">
        <v>3</v>
      </c>
    </row>
    <row r="1956" spans="1:14" x14ac:dyDescent="0.25">
      <c r="A1956" s="3" t="str">
        <f>HYPERLINK("http://www.ncbi.nlm.nih.gov/gene/3594","3594")</f>
        <v>3594</v>
      </c>
      <c r="B1956" s="1" t="s">
        <v>4710</v>
      </c>
      <c r="C1956" t="s">
        <v>4711</v>
      </c>
      <c r="D1956">
        <v>117.5</v>
      </c>
      <c r="E1956">
        <v>121.8</v>
      </c>
      <c r="F1956">
        <v>98.9</v>
      </c>
      <c r="G1956">
        <v>96.3</v>
      </c>
      <c r="H1956">
        <v>131.4</v>
      </c>
      <c r="I1956">
        <v>134.5</v>
      </c>
      <c r="J1956">
        <v>94.1</v>
      </c>
      <c r="K1956">
        <v>94.1</v>
      </c>
      <c r="L1956" s="1" t="s">
        <v>4710</v>
      </c>
      <c r="M1956" t="s">
        <v>1097</v>
      </c>
      <c r="N1956">
        <v>3</v>
      </c>
    </row>
    <row r="1957" spans="1:14" x14ac:dyDescent="0.25">
      <c r="A1957" s="3" t="str">
        <f>HYPERLINK("http://www.ncbi.nlm.nih.gov/gene/112744","112744")</f>
        <v>112744</v>
      </c>
      <c r="B1957" s="1" t="s">
        <v>4712</v>
      </c>
      <c r="C1957" t="s">
        <v>4713</v>
      </c>
      <c r="D1957">
        <v>83.6</v>
      </c>
      <c r="E1957">
        <v>88.7</v>
      </c>
      <c r="F1957">
        <v>99.9</v>
      </c>
      <c r="G1957">
        <v>97.2</v>
      </c>
      <c r="H1957">
        <v>120.5</v>
      </c>
      <c r="I1957">
        <v>124.5</v>
      </c>
      <c r="J1957">
        <v>100</v>
      </c>
      <c r="K1957">
        <v>100</v>
      </c>
      <c r="L1957" s="1" t="s">
        <v>4712</v>
      </c>
      <c r="M1957" t="s">
        <v>4714</v>
      </c>
      <c r="N1957">
        <v>2</v>
      </c>
    </row>
    <row r="1958" spans="1:14" x14ac:dyDescent="0.25">
      <c r="A1958" s="3" t="str">
        <f>HYPERLINK("http://www.ncbi.nlm.nih.gov/gene/23765","23765")</f>
        <v>23765</v>
      </c>
      <c r="B1958" s="1" t="s">
        <v>4715</v>
      </c>
      <c r="C1958" t="s">
        <v>4716</v>
      </c>
      <c r="D1958">
        <v>135.6</v>
      </c>
      <c r="E1958">
        <v>129.6</v>
      </c>
      <c r="F1958">
        <v>100</v>
      </c>
      <c r="G1958">
        <v>99.4</v>
      </c>
      <c r="H1958">
        <v>144.80000000000001</v>
      </c>
      <c r="I1958">
        <v>146.6</v>
      </c>
      <c r="J1958">
        <v>100</v>
      </c>
      <c r="K1958">
        <v>100</v>
      </c>
      <c r="L1958" s="1" t="s">
        <v>4715</v>
      </c>
      <c r="M1958" t="s">
        <v>225</v>
      </c>
      <c r="N1958">
        <v>4</v>
      </c>
    </row>
    <row r="1959" spans="1:14" x14ac:dyDescent="0.25">
      <c r="A1959" s="3" t="str">
        <f>HYPERLINK("http://www.ncbi.nlm.nih.gov/gene/84818","84818")</f>
        <v>84818</v>
      </c>
      <c r="B1959" s="1" t="s">
        <v>4717</v>
      </c>
      <c r="C1959" t="s">
        <v>4718</v>
      </c>
      <c r="D1959">
        <v>122.6</v>
      </c>
      <c r="E1959">
        <v>121</v>
      </c>
      <c r="F1959">
        <v>100</v>
      </c>
      <c r="G1959">
        <v>99.9</v>
      </c>
      <c r="H1959">
        <v>140.19999999999999</v>
      </c>
      <c r="I1959">
        <v>141.5</v>
      </c>
      <c r="J1959">
        <v>100</v>
      </c>
      <c r="K1959">
        <v>100</v>
      </c>
      <c r="L1959" s="1" t="s">
        <v>4717</v>
      </c>
      <c r="M1959" t="s">
        <v>1097</v>
      </c>
      <c r="N1959">
        <v>3</v>
      </c>
    </row>
    <row r="1960" spans="1:14" x14ac:dyDescent="0.25">
      <c r="A1960" s="3" t="str">
        <f>HYPERLINK("http://www.ncbi.nlm.nih.gov/gene/54756","54756")</f>
        <v>54756</v>
      </c>
      <c r="B1960" s="1" t="s">
        <v>4719</v>
      </c>
      <c r="C1960" t="s">
        <v>4720</v>
      </c>
      <c r="D1960">
        <v>146.80000000000001</v>
      </c>
      <c r="E1960">
        <v>145.4</v>
      </c>
      <c r="F1960">
        <v>99.9</v>
      </c>
      <c r="G1960">
        <v>99.1</v>
      </c>
      <c r="H1960">
        <v>133.80000000000001</v>
      </c>
      <c r="I1960">
        <v>135.6</v>
      </c>
      <c r="J1960">
        <v>100</v>
      </c>
      <c r="K1960">
        <v>100</v>
      </c>
      <c r="L1960" s="1" t="s">
        <v>4719</v>
      </c>
      <c r="M1960" t="s">
        <v>4721</v>
      </c>
      <c r="N1960">
        <v>4</v>
      </c>
    </row>
    <row r="1961" spans="1:14" x14ac:dyDescent="0.25">
      <c r="A1961" s="3" t="str">
        <f>HYPERLINK("http://www.ncbi.nlm.nih.gov/gene/10068","10068")</f>
        <v>10068</v>
      </c>
      <c r="B1961" s="1" t="s">
        <v>4722</v>
      </c>
      <c r="C1961" t="s">
        <v>4723</v>
      </c>
      <c r="D1961">
        <v>173.1</v>
      </c>
      <c r="E1961">
        <v>175.8</v>
      </c>
      <c r="F1961">
        <v>100</v>
      </c>
      <c r="G1961">
        <v>100</v>
      </c>
      <c r="H1961">
        <v>153.6</v>
      </c>
      <c r="I1961">
        <v>157.80000000000001</v>
      </c>
      <c r="J1961">
        <v>100</v>
      </c>
      <c r="K1961">
        <v>100</v>
      </c>
      <c r="L1961" s="1" t="s">
        <v>4722</v>
      </c>
      <c r="M1961" t="s">
        <v>502</v>
      </c>
      <c r="N1961">
        <v>2</v>
      </c>
    </row>
    <row r="1962" spans="1:14" x14ac:dyDescent="0.25">
      <c r="A1962" s="3" t="str">
        <f>HYPERLINK("http://www.ncbi.nlm.nih.gov/gene/3553","3553")</f>
        <v>3553</v>
      </c>
      <c r="B1962" s="1" t="s">
        <v>4724</v>
      </c>
      <c r="C1962" t="s">
        <v>4725</v>
      </c>
      <c r="D1962">
        <v>130</v>
      </c>
      <c r="E1962">
        <v>133.6</v>
      </c>
      <c r="F1962">
        <v>100</v>
      </c>
      <c r="G1962">
        <v>100</v>
      </c>
      <c r="H1962">
        <v>118.5</v>
      </c>
      <c r="I1962">
        <v>123.6</v>
      </c>
      <c r="J1962">
        <v>100</v>
      </c>
      <c r="K1962">
        <v>100</v>
      </c>
      <c r="L1962" s="1" t="s">
        <v>4724</v>
      </c>
      <c r="M1962" t="s">
        <v>661</v>
      </c>
      <c r="N1962">
        <v>2</v>
      </c>
    </row>
    <row r="1963" spans="1:14" x14ac:dyDescent="0.25">
      <c r="A1963" s="3" t="str">
        <f>HYPERLINK("http://www.ncbi.nlm.nih.gov/gene/11141","11141")</f>
        <v>11141</v>
      </c>
      <c r="B1963" s="1" t="s">
        <v>4726</v>
      </c>
      <c r="C1963" t="s">
        <v>4727</v>
      </c>
      <c r="D1963">
        <v>121.5</v>
      </c>
      <c r="E1963">
        <v>126</v>
      </c>
      <c r="F1963">
        <v>99.8</v>
      </c>
      <c r="G1963">
        <v>98.6</v>
      </c>
      <c r="H1963">
        <v>134.9</v>
      </c>
      <c r="I1963">
        <v>138</v>
      </c>
      <c r="J1963">
        <v>100</v>
      </c>
      <c r="K1963">
        <v>100</v>
      </c>
      <c r="L1963" s="1" t="s">
        <v>4726</v>
      </c>
      <c r="M1963" t="s">
        <v>1240</v>
      </c>
      <c r="N1963">
        <v>2</v>
      </c>
    </row>
    <row r="1964" spans="1:14" x14ac:dyDescent="0.25">
      <c r="A1964" s="3" t="str">
        <f>HYPERLINK("http://www.ncbi.nlm.nih.gov/gene/3557","3557")</f>
        <v>3557</v>
      </c>
      <c r="B1964" s="1" t="s">
        <v>4728</v>
      </c>
      <c r="C1964" t="s">
        <v>4729</v>
      </c>
      <c r="D1964">
        <v>152.30000000000001</v>
      </c>
      <c r="E1964">
        <v>154.6</v>
      </c>
      <c r="F1964">
        <v>100</v>
      </c>
      <c r="G1964">
        <v>100</v>
      </c>
      <c r="H1964">
        <v>122</v>
      </c>
      <c r="I1964">
        <v>125.4</v>
      </c>
      <c r="J1964">
        <v>100</v>
      </c>
      <c r="K1964">
        <v>100</v>
      </c>
      <c r="L1964" s="1" t="s">
        <v>4728</v>
      </c>
      <c r="M1964" t="s">
        <v>4730</v>
      </c>
      <c r="N1964">
        <v>5</v>
      </c>
    </row>
    <row r="1965" spans="1:14" x14ac:dyDescent="0.25">
      <c r="A1965" s="3" t="str">
        <f>HYPERLINK("http://www.ncbi.nlm.nih.gov/gene/3558","3558")</f>
        <v>3558</v>
      </c>
      <c r="B1965" s="1" t="s">
        <v>4731</v>
      </c>
      <c r="C1965" t="s">
        <v>4732</v>
      </c>
      <c r="D1965">
        <v>82.1</v>
      </c>
      <c r="E1965">
        <v>84.5</v>
      </c>
      <c r="F1965">
        <v>94.5</v>
      </c>
      <c r="G1965">
        <v>88</v>
      </c>
      <c r="H1965">
        <v>120.2</v>
      </c>
      <c r="I1965">
        <v>123.5</v>
      </c>
      <c r="J1965">
        <v>100</v>
      </c>
      <c r="K1965">
        <v>100</v>
      </c>
      <c r="L1965" s="1" t="s">
        <v>4731</v>
      </c>
      <c r="M1965" t="s">
        <v>502</v>
      </c>
      <c r="N1965">
        <v>2</v>
      </c>
    </row>
    <row r="1966" spans="1:14" x14ac:dyDescent="0.25">
      <c r="A1966" s="3" t="str">
        <f>HYPERLINK("http://www.ncbi.nlm.nih.gov/gene/59067","59067")</f>
        <v>59067</v>
      </c>
      <c r="B1966" s="1" t="s">
        <v>4733</v>
      </c>
      <c r="C1966" t="s">
        <v>4734</v>
      </c>
      <c r="D1966">
        <v>75.2</v>
      </c>
      <c r="E1966">
        <v>77</v>
      </c>
      <c r="F1966">
        <v>99.4</v>
      </c>
      <c r="G1966">
        <v>95.7</v>
      </c>
      <c r="H1966">
        <v>140.4</v>
      </c>
      <c r="I1966">
        <v>143.5</v>
      </c>
      <c r="J1966">
        <v>100</v>
      </c>
      <c r="K1966">
        <v>100</v>
      </c>
      <c r="L1966" s="1" t="s">
        <v>4733</v>
      </c>
      <c r="M1966" t="s">
        <v>502</v>
      </c>
      <c r="N1966">
        <v>2</v>
      </c>
    </row>
    <row r="1967" spans="1:14" x14ac:dyDescent="0.25">
      <c r="A1967" s="3" t="str">
        <f>HYPERLINK("http://www.ncbi.nlm.nih.gov/gene/50615","50615")</f>
        <v>50615</v>
      </c>
      <c r="B1967" s="1" t="s">
        <v>4735</v>
      </c>
      <c r="C1967" t="s">
        <v>4736</v>
      </c>
      <c r="D1967">
        <v>139.4</v>
      </c>
      <c r="E1967">
        <v>145</v>
      </c>
      <c r="F1967">
        <v>100</v>
      </c>
      <c r="G1967">
        <v>100</v>
      </c>
      <c r="H1967">
        <v>142.80000000000001</v>
      </c>
      <c r="I1967">
        <v>143.5</v>
      </c>
      <c r="J1967">
        <v>100</v>
      </c>
      <c r="K1967">
        <v>100</v>
      </c>
      <c r="L1967" s="1" t="s">
        <v>4735</v>
      </c>
      <c r="M1967" t="s">
        <v>1097</v>
      </c>
      <c r="N1967">
        <v>3</v>
      </c>
    </row>
    <row r="1968" spans="1:14" x14ac:dyDescent="0.25">
      <c r="A1968" s="3" t="str">
        <f>HYPERLINK("http://www.ncbi.nlm.nih.gov/gene/3559","3559")</f>
        <v>3559</v>
      </c>
      <c r="B1968" s="1" t="s">
        <v>4737</v>
      </c>
      <c r="C1968" t="s">
        <v>4738</v>
      </c>
      <c r="D1968">
        <v>117.8</v>
      </c>
      <c r="E1968">
        <v>122.3</v>
      </c>
      <c r="F1968">
        <v>100</v>
      </c>
      <c r="G1968">
        <v>99.7</v>
      </c>
      <c r="H1968">
        <v>131.9</v>
      </c>
      <c r="I1968">
        <v>135.6</v>
      </c>
      <c r="J1968">
        <v>100</v>
      </c>
      <c r="K1968">
        <v>100</v>
      </c>
      <c r="L1968" s="1" t="s">
        <v>4737</v>
      </c>
      <c r="M1968" t="s">
        <v>1097</v>
      </c>
      <c r="N1968">
        <v>3</v>
      </c>
    </row>
    <row r="1969" spans="1:14" x14ac:dyDescent="0.25">
      <c r="A1969" s="3" t="str">
        <f>HYPERLINK("http://www.ncbi.nlm.nih.gov/gene/3560","3560")</f>
        <v>3560</v>
      </c>
      <c r="B1969" s="1" t="s">
        <v>4739</v>
      </c>
      <c r="C1969" t="s">
        <v>4740</v>
      </c>
      <c r="D1969">
        <v>117.6</v>
      </c>
      <c r="E1969">
        <v>117.9</v>
      </c>
      <c r="F1969">
        <v>100</v>
      </c>
      <c r="G1969">
        <v>99.7</v>
      </c>
      <c r="H1969">
        <v>140.19999999999999</v>
      </c>
      <c r="I1969">
        <v>142.80000000000001</v>
      </c>
      <c r="J1969">
        <v>100</v>
      </c>
      <c r="K1969">
        <v>100</v>
      </c>
      <c r="L1969" s="1" t="s">
        <v>4739</v>
      </c>
      <c r="M1969" t="s">
        <v>1097</v>
      </c>
      <c r="N1969">
        <v>3</v>
      </c>
    </row>
    <row r="1970" spans="1:14" x14ac:dyDescent="0.25">
      <c r="A1970" s="3" t="str">
        <f>HYPERLINK("http://www.ncbi.nlm.nih.gov/gene/3561","3561")</f>
        <v>3561</v>
      </c>
      <c r="B1970" s="1" t="s">
        <v>4741</v>
      </c>
      <c r="C1970" t="s">
        <v>4742</v>
      </c>
      <c r="D1970">
        <v>67.8</v>
      </c>
      <c r="E1970">
        <v>71.099999999999994</v>
      </c>
      <c r="F1970">
        <v>99.8</v>
      </c>
      <c r="G1970">
        <v>97.1</v>
      </c>
      <c r="H1970">
        <v>128</v>
      </c>
      <c r="I1970">
        <v>131.9</v>
      </c>
      <c r="J1970">
        <v>100</v>
      </c>
      <c r="K1970">
        <v>100</v>
      </c>
      <c r="L1970" s="1" t="s">
        <v>4741</v>
      </c>
      <c r="M1970" t="s">
        <v>4743</v>
      </c>
      <c r="N1970">
        <v>4</v>
      </c>
    </row>
    <row r="1971" spans="1:14" x14ac:dyDescent="0.25">
      <c r="A1971" s="3" t="str">
        <f>HYPERLINK("http://www.ncbi.nlm.nih.gov/gene/133396","133396")</f>
        <v>133396</v>
      </c>
      <c r="B1971" s="1" t="s">
        <v>4744</v>
      </c>
      <c r="C1971" t="s">
        <v>4745</v>
      </c>
      <c r="D1971">
        <v>138.30000000000001</v>
      </c>
      <c r="E1971">
        <v>141.1</v>
      </c>
      <c r="F1971">
        <v>99.9</v>
      </c>
      <c r="G1971">
        <v>99.9</v>
      </c>
      <c r="H1971">
        <v>141.5</v>
      </c>
      <c r="I1971">
        <v>145.6</v>
      </c>
      <c r="J1971">
        <v>100</v>
      </c>
      <c r="K1971">
        <v>100</v>
      </c>
      <c r="L1971" s="1" t="s">
        <v>4744</v>
      </c>
      <c r="M1971" t="s">
        <v>29</v>
      </c>
      <c r="N1971">
        <v>2</v>
      </c>
    </row>
    <row r="1972" spans="1:14" x14ac:dyDescent="0.25">
      <c r="A1972" s="3" t="str">
        <f>HYPERLINK("http://www.ncbi.nlm.nih.gov/gene/26525","26525")</f>
        <v>26525</v>
      </c>
      <c r="B1972" s="1" t="s">
        <v>4746</v>
      </c>
      <c r="C1972" t="s">
        <v>4747</v>
      </c>
      <c r="D1972">
        <v>100.5</v>
      </c>
      <c r="E1972">
        <v>104.4</v>
      </c>
      <c r="F1972">
        <v>100</v>
      </c>
      <c r="G1972">
        <v>100</v>
      </c>
      <c r="H1972">
        <v>137.6</v>
      </c>
      <c r="I1972">
        <v>141.6</v>
      </c>
      <c r="J1972">
        <v>100</v>
      </c>
      <c r="K1972">
        <v>100</v>
      </c>
      <c r="L1972" s="1" t="s">
        <v>4746</v>
      </c>
      <c r="M1972" t="s">
        <v>225</v>
      </c>
      <c r="N1972">
        <v>4</v>
      </c>
    </row>
    <row r="1973" spans="1:14" x14ac:dyDescent="0.25">
      <c r="A1973" s="3" t="str">
        <f>HYPERLINK("http://www.ncbi.nlm.nih.gov/gene/3570","3570")</f>
        <v>3570</v>
      </c>
      <c r="B1973" s="1" t="s">
        <v>4748</v>
      </c>
      <c r="C1973" t="s">
        <v>4749</v>
      </c>
      <c r="D1973">
        <v>148</v>
      </c>
      <c r="E1973">
        <v>153.1</v>
      </c>
      <c r="F1973">
        <v>98.4</v>
      </c>
      <c r="G1973">
        <v>94.2</v>
      </c>
      <c r="H1973">
        <v>123.7</v>
      </c>
      <c r="I1973">
        <v>128.19999999999999</v>
      </c>
      <c r="J1973">
        <v>92.8</v>
      </c>
      <c r="K1973">
        <v>92.7</v>
      </c>
      <c r="L1973" s="1" t="s">
        <v>4748</v>
      </c>
      <c r="M1973" t="s">
        <v>4701</v>
      </c>
      <c r="N1973">
        <v>3</v>
      </c>
    </row>
    <row r="1974" spans="1:14" x14ac:dyDescent="0.25">
      <c r="A1974" s="3" t="str">
        <f>HYPERLINK("http://www.ncbi.nlm.nih.gov/gene/3572","3572")</f>
        <v>3572</v>
      </c>
      <c r="B1974" s="1" t="s">
        <v>4750</v>
      </c>
      <c r="C1974" t="s">
        <v>4751</v>
      </c>
      <c r="D1974">
        <v>111</v>
      </c>
      <c r="E1974">
        <v>112.4</v>
      </c>
      <c r="F1974">
        <v>96.4</v>
      </c>
      <c r="G1974">
        <v>90.3</v>
      </c>
      <c r="H1974">
        <v>130.4</v>
      </c>
      <c r="I1974">
        <v>133.69999999999999</v>
      </c>
      <c r="J1974">
        <v>100</v>
      </c>
      <c r="K1974">
        <v>100</v>
      </c>
      <c r="L1974" s="1" t="s">
        <v>4750</v>
      </c>
      <c r="M1974" t="s">
        <v>4752</v>
      </c>
      <c r="N1974">
        <v>5</v>
      </c>
    </row>
    <row r="1975" spans="1:14" x14ac:dyDescent="0.25">
      <c r="A1975" s="3" t="str">
        <f>HYPERLINK("http://www.ncbi.nlm.nih.gov/gene/3575","3575")</f>
        <v>3575</v>
      </c>
      <c r="B1975" s="1" t="s">
        <v>4753</v>
      </c>
      <c r="C1975" t="s">
        <v>4754</v>
      </c>
      <c r="D1975">
        <v>150.30000000000001</v>
      </c>
      <c r="E1975">
        <v>147.69999999999999</v>
      </c>
      <c r="F1975">
        <v>100</v>
      </c>
      <c r="G1975">
        <v>99.8</v>
      </c>
      <c r="H1975">
        <v>144.9</v>
      </c>
      <c r="I1975">
        <v>149.6</v>
      </c>
      <c r="J1975">
        <v>100</v>
      </c>
      <c r="K1975">
        <v>100</v>
      </c>
      <c r="L1975" s="1" t="s">
        <v>4753</v>
      </c>
      <c r="M1975" t="s">
        <v>1551</v>
      </c>
      <c r="N1975">
        <v>4</v>
      </c>
    </row>
    <row r="1976" spans="1:14" x14ac:dyDescent="0.25">
      <c r="A1976" s="3" t="str">
        <f>HYPERLINK("http://www.ncbi.nlm.nih.gov/gene/286676","286676")</f>
        <v>286676</v>
      </c>
      <c r="B1976" s="1" t="s">
        <v>4755</v>
      </c>
      <c r="C1976" t="s">
        <v>4756</v>
      </c>
      <c r="D1976">
        <v>118.2</v>
      </c>
      <c r="E1976">
        <v>117.9</v>
      </c>
      <c r="F1976">
        <v>99.9</v>
      </c>
      <c r="G1976">
        <v>98.4</v>
      </c>
      <c r="H1976">
        <v>142.19999999999999</v>
      </c>
      <c r="I1976">
        <v>147.19999999999999</v>
      </c>
      <c r="J1976">
        <v>100</v>
      </c>
      <c r="K1976">
        <v>100</v>
      </c>
      <c r="L1976" s="1" t="s">
        <v>4755</v>
      </c>
      <c r="M1976" t="s">
        <v>269</v>
      </c>
      <c r="N1976">
        <v>3</v>
      </c>
    </row>
    <row r="1977" spans="1:14" x14ac:dyDescent="0.25">
      <c r="A1977" s="3" t="str">
        <f>HYPERLINK("http://www.ncbi.nlm.nih.gov/gene/3611","3611")</f>
        <v>3611</v>
      </c>
      <c r="B1977" s="1" t="s">
        <v>4757</v>
      </c>
      <c r="C1977" t="s">
        <v>4758</v>
      </c>
      <c r="D1977">
        <v>154.5</v>
      </c>
      <c r="E1977">
        <v>156.1</v>
      </c>
      <c r="F1977">
        <v>100</v>
      </c>
      <c r="G1977">
        <v>100</v>
      </c>
      <c r="H1977">
        <v>146.4</v>
      </c>
      <c r="I1977">
        <v>148.4</v>
      </c>
      <c r="J1977">
        <v>100</v>
      </c>
      <c r="K1977">
        <v>100</v>
      </c>
      <c r="L1977" s="1" t="s">
        <v>4757</v>
      </c>
      <c r="M1977" t="s">
        <v>197</v>
      </c>
      <c r="N1977">
        <v>2</v>
      </c>
    </row>
    <row r="1978" spans="1:14" x14ac:dyDescent="0.25">
      <c r="A1978" s="3" t="str">
        <f>HYPERLINK("http://www.ncbi.nlm.nih.gov/gene/3612","3612")</f>
        <v>3612</v>
      </c>
      <c r="B1978" s="1" t="s">
        <v>4759</v>
      </c>
      <c r="C1978" t="s">
        <v>4760</v>
      </c>
      <c r="D1978">
        <v>81.3</v>
      </c>
      <c r="E1978">
        <v>84</v>
      </c>
      <c r="F1978">
        <v>97</v>
      </c>
      <c r="G1978">
        <v>87</v>
      </c>
      <c r="H1978">
        <v>130.6</v>
      </c>
      <c r="I1978">
        <v>133.80000000000001</v>
      </c>
      <c r="J1978">
        <v>100</v>
      </c>
      <c r="K1978">
        <v>100</v>
      </c>
      <c r="L1978" s="1" t="s">
        <v>4759</v>
      </c>
      <c r="M1978" t="s">
        <v>228</v>
      </c>
      <c r="N1978">
        <v>3</v>
      </c>
    </row>
    <row r="1979" spans="1:14" x14ac:dyDescent="0.25">
      <c r="A1979" s="3" t="str">
        <f>HYPERLINK("http://www.ncbi.nlm.nih.gov/gene/3614","3614")</f>
        <v>3614</v>
      </c>
      <c r="B1979" s="1" t="s">
        <v>4761</v>
      </c>
      <c r="C1979" t="s">
        <v>4762</v>
      </c>
      <c r="D1979">
        <v>58.9</v>
      </c>
      <c r="E1979">
        <v>57.5</v>
      </c>
      <c r="F1979">
        <v>87.9</v>
      </c>
      <c r="G1979">
        <v>80.2</v>
      </c>
      <c r="H1979">
        <v>134.4</v>
      </c>
      <c r="I1979">
        <v>137.4</v>
      </c>
      <c r="J1979">
        <v>100</v>
      </c>
      <c r="K1979">
        <v>100</v>
      </c>
      <c r="L1979" s="1" t="s">
        <v>4761</v>
      </c>
      <c r="M1979" t="s">
        <v>4763</v>
      </c>
      <c r="N1979">
        <v>3</v>
      </c>
    </row>
    <row r="1980" spans="1:14" x14ac:dyDescent="0.25">
      <c r="A1980" s="3" t="str">
        <f>HYPERLINK("http://www.ncbi.nlm.nih.gov/gene/3617","3617")</f>
        <v>3617</v>
      </c>
      <c r="B1980" s="1" t="s">
        <v>4764</v>
      </c>
      <c r="C1980" t="s">
        <v>4765</v>
      </c>
      <c r="D1980">
        <v>106.8</v>
      </c>
      <c r="E1980">
        <v>110.6</v>
      </c>
      <c r="F1980">
        <v>99.7</v>
      </c>
      <c r="G1980">
        <v>98.5</v>
      </c>
      <c r="H1980">
        <v>132.30000000000001</v>
      </c>
      <c r="I1980">
        <v>132.9</v>
      </c>
      <c r="J1980">
        <v>100</v>
      </c>
      <c r="K1980">
        <v>100</v>
      </c>
      <c r="L1980" s="1" t="s">
        <v>4764</v>
      </c>
      <c r="M1980" t="s">
        <v>302</v>
      </c>
      <c r="N1980">
        <v>2</v>
      </c>
    </row>
    <row r="1981" spans="1:14" x14ac:dyDescent="0.25">
      <c r="A1981" s="3" t="str">
        <f>HYPERLINK("http://www.ncbi.nlm.nih.gov/gene/50939","50939")</f>
        <v>50939</v>
      </c>
      <c r="B1981" s="1" t="s">
        <v>4766</v>
      </c>
      <c r="C1981" t="s">
        <v>4767</v>
      </c>
      <c r="D1981">
        <v>147.30000000000001</v>
      </c>
      <c r="E1981">
        <v>150.19999999999999</v>
      </c>
      <c r="F1981">
        <v>99.8</v>
      </c>
      <c r="G1981">
        <v>98.4</v>
      </c>
      <c r="H1981">
        <v>147.1</v>
      </c>
      <c r="I1981">
        <v>149.6</v>
      </c>
      <c r="J1981">
        <v>100</v>
      </c>
      <c r="K1981">
        <v>100</v>
      </c>
      <c r="L1981" s="1" t="s">
        <v>4766</v>
      </c>
      <c r="M1981" t="s">
        <v>4256</v>
      </c>
      <c r="N1981">
        <v>3</v>
      </c>
    </row>
    <row r="1982" spans="1:14" x14ac:dyDescent="0.25">
      <c r="A1982" s="3" t="str">
        <f>HYPERLINK("http://www.ncbi.nlm.nih.gov/gene/64423","64423")</f>
        <v>64423</v>
      </c>
      <c r="B1982" s="1" t="s">
        <v>4768</v>
      </c>
      <c r="C1982" t="s">
        <v>4769</v>
      </c>
      <c r="D1982">
        <v>93.7</v>
      </c>
      <c r="E1982">
        <v>89.3</v>
      </c>
      <c r="F1982">
        <v>86.7</v>
      </c>
      <c r="G1982">
        <v>83.8</v>
      </c>
      <c r="H1982">
        <v>142.80000000000001</v>
      </c>
      <c r="I1982">
        <v>143.19999999999999</v>
      </c>
      <c r="J1982">
        <v>100</v>
      </c>
      <c r="K1982">
        <v>100</v>
      </c>
      <c r="L1982" s="1" t="s">
        <v>4768</v>
      </c>
      <c r="M1982" t="s">
        <v>4770</v>
      </c>
      <c r="N1982">
        <v>3</v>
      </c>
    </row>
    <row r="1983" spans="1:14" x14ac:dyDescent="0.25">
      <c r="A1983" s="3" t="str">
        <f>HYPERLINK("http://www.ncbi.nlm.nih.gov/gene/3621","3621")</f>
        <v>3621</v>
      </c>
      <c r="B1983" s="1" t="s">
        <v>4771</v>
      </c>
      <c r="C1983" t="s">
        <v>4772</v>
      </c>
      <c r="D1983">
        <v>155.9</v>
      </c>
      <c r="E1983">
        <v>142.9</v>
      </c>
      <c r="F1983">
        <v>100</v>
      </c>
      <c r="G1983">
        <v>99.9</v>
      </c>
      <c r="H1983">
        <v>155.69999999999999</v>
      </c>
      <c r="I1983">
        <v>161.6</v>
      </c>
      <c r="J1983">
        <v>100</v>
      </c>
      <c r="K1983">
        <v>100</v>
      </c>
      <c r="L1983" s="1" t="s">
        <v>4771</v>
      </c>
      <c r="M1983" t="s">
        <v>22</v>
      </c>
      <c r="N1983">
        <v>1</v>
      </c>
    </row>
    <row r="1984" spans="1:14" x14ac:dyDescent="0.25">
      <c r="A1984" s="3" t="str">
        <f>HYPERLINK("http://www.ncbi.nlm.nih.gov/gene/54617","54617")</f>
        <v>54617</v>
      </c>
      <c r="B1984" s="1" t="s">
        <v>4773</v>
      </c>
      <c r="C1984" t="s">
        <v>4774</v>
      </c>
      <c r="D1984">
        <v>110.4</v>
      </c>
      <c r="E1984">
        <v>114.7</v>
      </c>
      <c r="F1984">
        <v>100</v>
      </c>
      <c r="G1984">
        <v>99.1</v>
      </c>
      <c r="H1984">
        <v>130.9</v>
      </c>
      <c r="I1984">
        <v>135.19999999999999</v>
      </c>
      <c r="J1984">
        <v>100</v>
      </c>
      <c r="K1984">
        <v>100</v>
      </c>
      <c r="L1984" s="1" t="s">
        <v>4773</v>
      </c>
      <c r="M1984" t="s">
        <v>502</v>
      </c>
      <c r="N1984">
        <v>2</v>
      </c>
    </row>
    <row r="1985" spans="1:14" x14ac:dyDescent="0.25">
      <c r="A1985" s="3" t="str">
        <f>HYPERLINK("http://www.ncbi.nlm.nih.gov/gene/56623","56623")</f>
        <v>56623</v>
      </c>
      <c r="B1985" s="1" t="s">
        <v>4775</v>
      </c>
      <c r="C1985" t="s">
        <v>4776</v>
      </c>
      <c r="D1985">
        <v>105.9</v>
      </c>
      <c r="E1985">
        <v>107.5</v>
      </c>
      <c r="F1985">
        <v>97.1</v>
      </c>
      <c r="G1985">
        <v>92.7</v>
      </c>
      <c r="H1985">
        <v>145.19999999999999</v>
      </c>
      <c r="I1985">
        <v>148.5</v>
      </c>
      <c r="J1985">
        <v>100</v>
      </c>
      <c r="K1985">
        <v>100</v>
      </c>
      <c r="L1985" s="1" t="s">
        <v>4775</v>
      </c>
      <c r="M1985" t="s">
        <v>4777</v>
      </c>
      <c r="N1985">
        <v>7</v>
      </c>
    </row>
    <row r="1986" spans="1:14" x14ac:dyDescent="0.25">
      <c r="A1986" s="3" t="str">
        <f>HYPERLINK("http://www.ncbi.nlm.nih.gov/gene/51763","51763")</f>
        <v>51763</v>
      </c>
      <c r="B1986" s="1" t="s">
        <v>4778</v>
      </c>
      <c r="C1986" t="s">
        <v>4779</v>
      </c>
      <c r="D1986">
        <v>105.4</v>
      </c>
      <c r="E1986">
        <v>109.2</v>
      </c>
      <c r="F1986">
        <v>100</v>
      </c>
      <c r="G1986">
        <v>100</v>
      </c>
      <c r="H1986">
        <v>134.69999999999999</v>
      </c>
      <c r="I1986">
        <v>137.80000000000001</v>
      </c>
      <c r="J1986">
        <v>100</v>
      </c>
      <c r="K1986">
        <v>100</v>
      </c>
      <c r="L1986" s="1" t="s">
        <v>4778</v>
      </c>
      <c r="M1986" t="s">
        <v>2554</v>
      </c>
      <c r="N1986">
        <v>4</v>
      </c>
    </row>
    <row r="1987" spans="1:14" x14ac:dyDescent="0.25">
      <c r="A1987" s="3" t="str">
        <f>HYPERLINK("http://www.ncbi.nlm.nih.gov/gene/3636","3636")</f>
        <v>3636</v>
      </c>
      <c r="B1987" s="1" t="s">
        <v>4780</v>
      </c>
      <c r="C1987" t="s">
        <v>4781</v>
      </c>
      <c r="D1987">
        <v>128</v>
      </c>
      <c r="E1987">
        <v>131</v>
      </c>
      <c r="F1987">
        <v>98.4</v>
      </c>
      <c r="G1987">
        <v>94.5</v>
      </c>
      <c r="H1987">
        <v>141.30000000000001</v>
      </c>
      <c r="I1987">
        <v>145.1</v>
      </c>
      <c r="J1987">
        <v>99.9</v>
      </c>
      <c r="K1987">
        <v>99.7</v>
      </c>
      <c r="L1987" s="1" t="s">
        <v>4780</v>
      </c>
      <c r="M1987" t="s">
        <v>351</v>
      </c>
      <c r="N1987">
        <v>4</v>
      </c>
    </row>
    <row r="1988" spans="1:14" x14ac:dyDescent="0.25">
      <c r="A1988" s="3" t="str">
        <f>HYPERLINK("http://www.ncbi.nlm.nih.gov/gene/3630","3630")</f>
        <v>3630</v>
      </c>
      <c r="B1988" s="1" t="s">
        <v>4782</v>
      </c>
      <c r="C1988" t="s">
        <v>4783</v>
      </c>
      <c r="D1988">
        <v>60.2</v>
      </c>
      <c r="E1988">
        <v>62.1</v>
      </c>
      <c r="F1988">
        <v>99.9</v>
      </c>
      <c r="G1988">
        <v>97.9</v>
      </c>
      <c r="H1988">
        <v>149.9</v>
      </c>
      <c r="I1988">
        <v>156</v>
      </c>
      <c r="J1988">
        <v>100</v>
      </c>
      <c r="K1988">
        <v>100</v>
      </c>
      <c r="L1988" s="1" t="s">
        <v>4782</v>
      </c>
      <c r="M1988" t="s">
        <v>4557</v>
      </c>
      <c r="N1988">
        <v>1</v>
      </c>
    </row>
    <row r="1989" spans="1:14" x14ac:dyDescent="0.25">
      <c r="A1989" s="3" t="str">
        <f>HYPERLINK("http://www.ncbi.nlm.nih.gov/gene/3640","3640")</f>
        <v>3640</v>
      </c>
      <c r="B1989" s="1" t="s">
        <v>4784</v>
      </c>
      <c r="C1989" t="s">
        <v>4785</v>
      </c>
      <c r="D1989">
        <v>55</v>
      </c>
      <c r="E1989">
        <v>54.5</v>
      </c>
      <c r="F1989">
        <v>80.599999999999994</v>
      </c>
      <c r="G1989">
        <v>78.3</v>
      </c>
      <c r="H1989">
        <v>115.6</v>
      </c>
      <c r="I1989">
        <v>118.5</v>
      </c>
      <c r="J1989">
        <v>80.7</v>
      </c>
      <c r="K1989">
        <v>80.7</v>
      </c>
      <c r="L1989" s="1" t="s">
        <v>4784</v>
      </c>
      <c r="M1989" t="s">
        <v>285</v>
      </c>
      <c r="N1989">
        <v>1</v>
      </c>
    </row>
    <row r="1990" spans="1:14" x14ac:dyDescent="0.25">
      <c r="A1990" s="3" t="str">
        <f>HYPERLINK("http://www.ncbi.nlm.nih.gov/gene/3643","3643")</f>
        <v>3643</v>
      </c>
      <c r="B1990" s="1" t="s">
        <v>4786</v>
      </c>
      <c r="C1990" t="s">
        <v>4787</v>
      </c>
      <c r="D1990">
        <v>132.69999999999999</v>
      </c>
      <c r="E1990">
        <v>138.19999999999999</v>
      </c>
      <c r="F1990">
        <v>97.8</v>
      </c>
      <c r="G1990">
        <v>94.7</v>
      </c>
      <c r="H1990">
        <v>133.9</v>
      </c>
      <c r="I1990">
        <v>137.80000000000001</v>
      </c>
      <c r="J1990">
        <v>99.9</v>
      </c>
      <c r="K1990">
        <v>99.2</v>
      </c>
      <c r="L1990" s="1" t="s">
        <v>4786</v>
      </c>
      <c r="M1990" t="s">
        <v>4788</v>
      </c>
      <c r="N1990">
        <v>6</v>
      </c>
    </row>
    <row r="1991" spans="1:14" x14ac:dyDescent="0.25">
      <c r="A1991" s="3" t="str">
        <f>HYPERLINK("http://www.ncbi.nlm.nih.gov/gene/26173","26173")</f>
        <v>26173</v>
      </c>
      <c r="B1991" s="1" t="s">
        <v>4789</v>
      </c>
      <c r="C1991" t="s">
        <v>4790</v>
      </c>
      <c r="D1991">
        <v>115.1</v>
      </c>
      <c r="E1991">
        <v>119.2</v>
      </c>
      <c r="F1991">
        <v>99.8</v>
      </c>
      <c r="G1991">
        <v>98.5</v>
      </c>
      <c r="H1991">
        <v>147.1</v>
      </c>
      <c r="I1991">
        <v>151</v>
      </c>
      <c r="J1991">
        <v>100</v>
      </c>
      <c r="K1991">
        <v>100</v>
      </c>
      <c r="L1991" s="1" t="s">
        <v>4789</v>
      </c>
      <c r="M1991" t="s">
        <v>4791</v>
      </c>
      <c r="N1991">
        <v>3</v>
      </c>
    </row>
    <row r="1992" spans="1:14" x14ac:dyDescent="0.25">
      <c r="A1992" s="3" t="str">
        <f>HYPERLINK("http://www.ncbi.nlm.nih.gov/gene/55656","55656")</f>
        <v>55656</v>
      </c>
      <c r="B1992" s="1" t="s">
        <v>4792</v>
      </c>
      <c r="C1992" t="s">
        <v>4793</v>
      </c>
      <c r="D1992">
        <v>130.1</v>
      </c>
      <c r="E1992">
        <v>135</v>
      </c>
      <c r="F1992">
        <v>99.9</v>
      </c>
      <c r="G1992">
        <v>98.8</v>
      </c>
      <c r="H1992">
        <v>114</v>
      </c>
      <c r="I1992">
        <v>117</v>
      </c>
      <c r="J1992">
        <v>100</v>
      </c>
      <c r="K1992">
        <v>100</v>
      </c>
      <c r="L1992" s="1" t="s">
        <v>4792</v>
      </c>
      <c r="M1992" t="s">
        <v>53</v>
      </c>
      <c r="N1992">
        <v>2</v>
      </c>
    </row>
    <row r="1993" spans="1:14" x14ac:dyDescent="0.25">
      <c r="A1993" s="3" t="str">
        <f>HYPERLINK("http://www.ncbi.nlm.nih.gov/gene/27152","27152")</f>
        <v>27152</v>
      </c>
      <c r="B1993" s="1" t="s">
        <v>4794</v>
      </c>
      <c r="C1993" t="s">
        <v>4795</v>
      </c>
      <c r="D1993">
        <v>139.30000000000001</v>
      </c>
      <c r="E1993">
        <v>141.9</v>
      </c>
      <c r="F1993">
        <v>99.7</v>
      </c>
      <c r="G1993">
        <v>98.1</v>
      </c>
      <c r="H1993">
        <v>120</v>
      </c>
      <c r="I1993">
        <v>122.6</v>
      </c>
      <c r="J1993">
        <v>100</v>
      </c>
      <c r="K1993">
        <v>100</v>
      </c>
      <c r="L1993" s="1" t="s">
        <v>4794</v>
      </c>
      <c r="M1993" t="s">
        <v>4796</v>
      </c>
      <c r="N1993">
        <v>7</v>
      </c>
    </row>
    <row r="1994" spans="1:14" x14ac:dyDescent="0.25">
      <c r="A1994" s="3" t="str">
        <f>HYPERLINK("http://www.ncbi.nlm.nih.gov/gene/27130","27130")</f>
        <v>27130</v>
      </c>
      <c r="B1994" s="1" t="s">
        <v>4797</v>
      </c>
      <c r="C1994" t="s">
        <v>4798</v>
      </c>
      <c r="D1994">
        <v>160.5</v>
      </c>
      <c r="E1994">
        <v>163.69999999999999</v>
      </c>
      <c r="F1994">
        <v>100</v>
      </c>
      <c r="G1994">
        <v>100</v>
      </c>
      <c r="H1994">
        <v>135.80000000000001</v>
      </c>
      <c r="I1994">
        <v>139.80000000000001</v>
      </c>
      <c r="J1994">
        <v>100</v>
      </c>
      <c r="K1994">
        <v>100</v>
      </c>
      <c r="L1994" s="1" t="s">
        <v>4797</v>
      </c>
      <c r="M1994" t="s">
        <v>4799</v>
      </c>
      <c r="N1994">
        <v>6</v>
      </c>
    </row>
    <row r="1995" spans="1:14" x14ac:dyDescent="0.25">
      <c r="A1995" s="3" t="str">
        <f>HYPERLINK("http://www.ncbi.nlm.nih.gov/gene/253430","253430")</f>
        <v>253430</v>
      </c>
      <c r="B1995" s="1" t="s">
        <v>4800</v>
      </c>
      <c r="D1995">
        <v>102.4</v>
      </c>
      <c r="E1995">
        <v>112.5</v>
      </c>
      <c r="F1995">
        <v>99.2</v>
      </c>
      <c r="G1995">
        <v>92</v>
      </c>
      <c r="H1995">
        <v>134.9</v>
      </c>
      <c r="I1995">
        <v>136.6</v>
      </c>
      <c r="J1995">
        <v>100</v>
      </c>
      <c r="K1995">
        <v>100</v>
      </c>
      <c r="L1995" s="1" t="s">
        <v>4800</v>
      </c>
      <c r="M1995" t="s">
        <v>19</v>
      </c>
      <c r="N1995">
        <v>2</v>
      </c>
    </row>
    <row r="1996" spans="1:14" x14ac:dyDescent="0.25">
      <c r="A1996" s="3" t="str">
        <f>HYPERLINK("http://www.ncbi.nlm.nih.gov/gene/9657","9657")</f>
        <v>9657</v>
      </c>
      <c r="B1996" s="1" t="s">
        <v>4801</v>
      </c>
      <c r="C1996" t="s">
        <v>4802</v>
      </c>
      <c r="D1996">
        <v>107.9</v>
      </c>
      <c r="E1996">
        <v>113.4</v>
      </c>
      <c r="F1996">
        <v>93.9</v>
      </c>
      <c r="G1996">
        <v>85</v>
      </c>
      <c r="H1996">
        <v>120.8</v>
      </c>
      <c r="I1996">
        <v>124.6</v>
      </c>
      <c r="J1996">
        <v>100</v>
      </c>
      <c r="K1996">
        <v>100</v>
      </c>
      <c r="L1996" s="1" t="s">
        <v>4801</v>
      </c>
      <c r="M1996" t="s">
        <v>1063</v>
      </c>
      <c r="N1996">
        <v>5</v>
      </c>
    </row>
    <row r="1997" spans="1:14" x14ac:dyDescent="0.25">
      <c r="A1997" s="3" t="str">
        <f>HYPERLINK("http://www.ncbi.nlm.nih.gov/gene/23288","23288")</f>
        <v>23288</v>
      </c>
      <c r="B1997" s="1" t="s">
        <v>4803</v>
      </c>
      <c r="C1997" t="s">
        <v>4804</v>
      </c>
      <c r="D1997">
        <v>136.6</v>
      </c>
      <c r="E1997">
        <v>140</v>
      </c>
      <c r="F1997">
        <v>99.9</v>
      </c>
      <c r="G1997">
        <v>98.8</v>
      </c>
      <c r="H1997">
        <v>124.8</v>
      </c>
      <c r="I1997">
        <v>127.7</v>
      </c>
      <c r="J1997">
        <v>100</v>
      </c>
      <c r="K1997">
        <v>100</v>
      </c>
      <c r="L1997" s="1" t="s">
        <v>4803</v>
      </c>
      <c r="M1997" t="s">
        <v>59</v>
      </c>
      <c r="N1997">
        <v>1</v>
      </c>
    </row>
    <row r="1998" spans="1:14" x14ac:dyDescent="0.25">
      <c r="A1998" s="3" t="str">
        <f>HYPERLINK("http://www.ncbi.nlm.nih.gov/gene/9922","9922")</f>
        <v>9922</v>
      </c>
      <c r="B1998" s="1" t="s">
        <v>4805</v>
      </c>
      <c r="C1998" t="s">
        <v>4806</v>
      </c>
      <c r="D1998">
        <v>102.6</v>
      </c>
      <c r="E1998">
        <v>93.4</v>
      </c>
      <c r="F1998">
        <v>89.1</v>
      </c>
      <c r="G1998">
        <v>86.3</v>
      </c>
      <c r="H1998">
        <v>127.5</v>
      </c>
      <c r="I1998">
        <v>129.80000000000001</v>
      </c>
      <c r="J1998">
        <v>97.6</v>
      </c>
      <c r="K1998">
        <v>95.2</v>
      </c>
      <c r="L1998" s="1" t="s">
        <v>4805</v>
      </c>
      <c r="M1998" t="s">
        <v>228</v>
      </c>
      <c r="N1998">
        <v>3</v>
      </c>
    </row>
    <row r="1999" spans="1:14" x14ac:dyDescent="0.25">
      <c r="A1999" s="3" t="str">
        <f>HYPERLINK("http://www.ncbi.nlm.nih.gov/gene/23096","23096")</f>
        <v>23096</v>
      </c>
      <c r="B1999" s="1" t="s">
        <v>4807</v>
      </c>
      <c r="C1999" t="s">
        <v>4808</v>
      </c>
      <c r="D1999">
        <v>74.099999999999994</v>
      </c>
      <c r="E1999">
        <v>72.400000000000006</v>
      </c>
      <c r="F1999">
        <v>96.8</v>
      </c>
      <c r="G1999">
        <v>88.6</v>
      </c>
      <c r="H1999">
        <v>127.9</v>
      </c>
      <c r="I1999">
        <v>131.9</v>
      </c>
      <c r="J1999">
        <v>99.4</v>
      </c>
      <c r="K1999">
        <v>98.4</v>
      </c>
      <c r="L1999" s="1" t="s">
        <v>4807</v>
      </c>
      <c r="M1999" t="s">
        <v>1425</v>
      </c>
      <c r="N1999">
        <v>3</v>
      </c>
    </row>
    <row r="2000" spans="1:14" x14ac:dyDescent="0.25">
      <c r="A2000" s="3" t="str">
        <f>HYPERLINK("http://www.ncbi.nlm.nih.gov/gene/3654","3654")</f>
        <v>3654</v>
      </c>
      <c r="B2000" s="1" t="s">
        <v>4809</v>
      </c>
      <c r="C2000" t="s">
        <v>4810</v>
      </c>
      <c r="D2000">
        <v>75.2</v>
      </c>
      <c r="E2000">
        <v>76.400000000000006</v>
      </c>
      <c r="F2000">
        <v>99.3</v>
      </c>
      <c r="G2000">
        <v>94.9</v>
      </c>
      <c r="H2000">
        <v>121.2</v>
      </c>
      <c r="I2000">
        <v>122.6</v>
      </c>
      <c r="J2000">
        <v>99.9</v>
      </c>
      <c r="K2000">
        <v>99.4</v>
      </c>
      <c r="L2000" s="1" t="s">
        <v>4809</v>
      </c>
      <c r="M2000" t="s">
        <v>3111</v>
      </c>
      <c r="N2000">
        <v>2</v>
      </c>
    </row>
    <row r="2001" spans="1:14" x14ac:dyDescent="0.25">
      <c r="A2001" s="3" t="str">
        <f>HYPERLINK("http://www.ncbi.nlm.nih.gov/gene/51135","51135")</f>
        <v>51135</v>
      </c>
      <c r="B2001" s="1" t="s">
        <v>4811</v>
      </c>
      <c r="C2001" t="s">
        <v>4812</v>
      </c>
      <c r="D2001">
        <v>111.8</v>
      </c>
      <c r="E2001">
        <v>116.9</v>
      </c>
      <c r="F2001">
        <v>99.8</v>
      </c>
      <c r="G2001">
        <v>97.7</v>
      </c>
      <c r="H2001">
        <v>133.80000000000001</v>
      </c>
      <c r="I2001">
        <v>138.5</v>
      </c>
      <c r="J2001">
        <v>100</v>
      </c>
      <c r="K2001">
        <v>100</v>
      </c>
      <c r="L2001" s="1" t="s">
        <v>4811</v>
      </c>
      <c r="M2001" t="s">
        <v>1305</v>
      </c>
      <c r="N2001">
        <v>3</v>
      </c>
    </row>
    <row r="2002" spans="1:14" x14ac:dyDescent="0.25">
      <c r="A2002" s="3" t="str">
        <f>HYPERLINK("http://www.ncbi.nlm.nih.gov/gene/3658","3658")</f>
        <v>3658</v>
      </c>
      <c r="B2002" s="1" t="s">
        <v>4813</v>
      </c>
      <c r="C2002" t="s">
        <v>4814</v>
      </c>
      <c r="D2002">
        <v>147.69999999999999</v>
      </c>
      <c r="E2002">
        <v>154.19999999999999</v>
      </c>
      <c r="F2002">
        <v>100</v>
      </c>
      <c r="G2002">
        <v>99.8</v>
      </c>
      <c r="H2002">
        <v>134.80000000000001</v>
      </c>
      <c r="I2002">
        <v>139</v>
      </c>
      <c r="J2002">
        <v>100</v>
      </c>
      <c r="K2002">
        <v>100</v>
      </c>
      <c r="L2002" s="1" t="s">
        <v>4813</v>
      </c>
      <c r="M2002" t="s">
        <v>116</v>
      </c>
      <c r="N2002">
        <v>3</v>
      </c>
    </row>
    <row r="2003" spans="1:14" x14ac:dyDescent="0.25">
      <c r="A2003" s="3" t="str">
        <f>HYPERLINK("http://www.ncbi.nlm.nih.gov/gene/3659","3659")</f>
        <v>3659</v>
      </c>
      <c r="B2003" s="1" t="s">
        <v>4815</v>
      </c>
      <c r="C2003" t="s">
        <v>4816</v>
      </c>
      <c r="D2003">
        <v>148.1</v>
      </c>
      <c r="E2003">
        <v>150.4</v>
      </c>
      <c r="F2003">
        <v>100</v>
      </c>
      <c r="G2003">
        <v>100</v>
      </c>
      <c r="H2003">
        <v>120.6</v>
      </c>
      <c r="I2003">
        <v>123.2</v>
      </c>
      <c r="J2003">
        <v>100</v>
      </c>
      <c r="K2003">
        <v>100</v>
      </c>
      <c r="L2003" s="1" t="s">
        <v>4815</v>
      </c>
      <c r="M2003" t="s">
        <v>22</v>
      </c>
      <c r="N2003">
        <v>1</v>
      </c>
    </row>
    <row r="2004" spans="1:14" x14ac:dyDescent="0.25">
      <c r="A2004" s="3" t="str">
        <f>HYPERLINK("http://www.ncbi.nlm.nih.gov/gene/359948","359948")</f>
        <v>359948</v>
      </c>
      <c r="B2004" s="1" t="s">
        <v>4817</v>
      </c>
      <c r="C2004" t="s">
        <v>4818</v>
      </c>
      <c r="D2004">
        <v>88.8</v>
      </c>
      <c r="E2004">
        <v>79.7</v>
      </c>
      <c r="F2004">
        <v>93.9</v>
      </c>
      <c r="G2004">
        <v>77.7</v>
      </c>
      <c r="H2004">
        <v>118.1</v>
      </c>
      <c r="I2004">
        <v>116.6</v>
      </c>
      <c r="J2004">
        <v>100</v>
      </c>
      <c r="K2004">
        <v>99.9</v>
      </c>
      <c r="L2004" s="1" t="s">
        <v>4817</v>
      </c>
      <c r="M2004" t="s">
        <v>562</v>
      </c>
      <c r="N2004">
        <v>2</v>
      </c>
    </row>
    <row r="2005" spans="1:14" x14ac:dyDescent="0.25">
      <c r="A2005" s="3" t="str">
        <f>HYPERLINK("http://www.ncbi.nlm.nih.gov/gene/64207","64207")</f>
        <v>64207</v>
      </c>
      <c r="B2005" s="1" t="s">
        <v>4819</v>
      </c>
      <c r="C2005" t="s">
        <v>4820</v>
      </c>
      <c r="D2005">
        <v>178.4</v>
      </c>
      <c r="E2005">
        <v>160.30000000000001</v>
      </c>
      <c r="F2005">
        <v>99.5</v>
      </c>
      <c r="G2005">
        <v>95</v>
      </c>
      <c r="H2005">
        <v>136.6</v>
      </c>
      <c r="I2005">
        <v>143.9</v>
      </c>
      <c r="J2005">
        <v>99.9</v>
      </c>
      <c r="K2005">
        <v>99.2</v>
      </c>
      <c r="L2005" s="1" t="s">
        <v>4819</v>
      </c>
      <c r="M2005" t="s">
        <v>877</v>
      </c>
      <c r="N2005">
        <v>4</v>
      </c>
    </row>
    <row r="2006" spans="1:14" x14ac:dyDescent="0.25">
      <c r="A2006" s="3" t="str">
        <f>HYPERLINK("http://www.ncbi.nlm.nih.gov/gene/3661","3661")</f>
        <v>3661</v>
      </c>
      <c r="B2006" s="1" t="s">
        <v>4821</v>
      </c>
      <c r="C2006" t="s">
        <v>4822</v>
      </c>
      <c r="D2006">
        <v>131.80000000000001</v>
      </c>
      <c r="E2006">
        <v>140.69999999999999</v>
      </c>
      <c r="F2006">
        <v>100</v>
      </c>
      <c r="G2006">
        <v>99.8</v>
      </c>
      <c r="H2006">
        <v>157.1</v>
      </c>
      <c r="I2006">
        <v>160.4</v>
      </c>
      <c r="J2006">
        <v>100</v>
      </c>
      <c r="K2006">
        <v>100</v>
      </c>
      <c r="L2006" s="1" t="s">
        <v>4821</v>
      </c>
      <c r="M2006" t="s">
        <v>562</v>
      </c>
      <c r="N2006">
        <v>2</v>
      </c>
    </row>
    <row r="2007" spans="1:14" x14ac:dyDescent="0.25">
      <c r="A2007" s="3" t="str">
        <f>HYPERLINK("http://www.ncbi.nlm.nih.gov/gene/3662","3662")</f>
        <v>3662</v>
      </c>
      <c r="B2007" s="1" t="s">
        <v>4823</v>
      </c>
      <c r="C2007" t="s">
        <v>4824</v>
      </c>
      <c r="D2007">
        <v>207.3</v>
      </c>
      <c r="E2007">
        <v>220.9</v>
      </c>
      <c r="F2007">
        <v>100</v>
      </c>
      <c r="G2007">
        <v>100</v>
      </c>
      <c r="H2007">
        <v>138.5</v>
      </c>
      <c r="I2007">
        <v>142.80000000000001</v>
      </c>
      <c r="J2007">
        <v>100</v>
      </c>
      <c r="K2007">
        <v>100</v>
      </c>
      <c r="L2007" s="1" t="s">
        <v>4823</v>
      </c>
      <c r="M2007" t="s">
        <v>4825</v>
      </c>
      <c r="N2007">
        <v>3</v>
      </c>
    </row>
    <row r="2008" spans="1:14" x14ac:dyDescent="0.25">
      <c r="A2008" s="3" t="str">
        <f>HYPERLINK("http://www.ncbi.nlm.nih.gov/gene/3664","3664")</f>
        <v>3664</v>
      </c>
      <c r="B2008" s="1" t="s">
        <v>4826</v>
      </c>
      <c r="C2008" t="s">
        <v>4827</v>
      </c>
      <c r="D2008">
        <v>84.8</v>
      </c>
      <c r="E2008">
        <v>91.7</v>
      </c>
      <c r="F2008">
        <v>99.6</v>
      </c>
      <c r="G2008">
        <v>95.9</v>
      </c>
      <c r="H2008">
        <v>151</v>
      </c>
      <c r="I2008">
        <v>156.30000000000001</v>
      </c>
      <c r="J2008">
        <v>100</v>
      </c>
      <c r="K2008">
        <v>100</v>
      </c>
      <c r="L2008" s="1" t="s">
        <v>4826</v>
      </c>
      <c r="M2008" t="s">
        <v>4828</v>
      </c>
      <c r="N2008">
        <v>5</v>
      </c>
    </row>
    <row r="2009" spans="1:14" x14ac:dyDescent="0.25">
      <c r="A2009" s="3" t="str">
        <f>HYPERLINK("http://www.ncbi.nlm.nih.gov/gene/3665","3665")</f>
        <v>3665</v>
      </c>
      <c r="B2009" s="1" t="s">
        <v>4829</v>
      </c>
      <c r="C2009" t="s">
        <v>4830</v>
      </c>
      <c r="D2009">
        <v>120.8</v>
      </c>
      <c r="E2009">
        <v>126.8</v>
      </c>
      <c r="F2009">
        <v>100</v>
      </c>
      <c r="G2009">
        <v>99.9</v>
      </c>
      <c r="H2009">
        <v>195.4</v>
      </c>
      <c r="I2009">
        <v>199</v>
      </c>
      <c r="J2009">
        <v>100</v>
      </c>
      <c r="K2009">
        <v>100</v>
      </c>
      <c r="L2009" s="1" t="s">
        <v>4829</v>
      </c>
      <c r="M2009" t="s">
        <v>1097</v>
      </c>
      <c r="N2009">
        <v>3</v>
      </c>
    </row>
    <row r="2010" spans="1:14" x14ac:dyDescent="0.25">
      <c r="A2010" s="3" t="str">
        <f>HYPERLINK("http://www.ncbi.nlm.nih.gov/gene/3394","3394")</f>
        <v>3394</v>
      </c>
      <c r="B2010" s="1" t="s">
        <v>4831</v>
      </c>
      <c r="C2010" t="s">
        <v>4832</v>
      </c>
      <c r="D2010">
        <v>110.9</v>
      </c>
      <c r="E2010">
        <v>113.2</v>
      </c>
      <c r="F2010">
        <v>99</v>
      </c>
      <c r="G2010">
        <v>95.7</v>
      </c>
      <c r="H2010">
        <v>135.5</v>
      </c>
      <c r="I2010">
        <v>139.80000000000001</v>
      </c>
      <c r="J2010">
        <v>100</v>
      </c>
      <c r="K2010">
        <v>100</v>
      </c>
      <c r="L2010" s="1" t="s">
        <v>4831</v>
      </c>
      <c r="M2010" t="s">
        <v>4619</v>
      </c>
      <c r="N2010">
        <v>3</v>
      </c>
    </row>
    <row r="2011" spans="1:14" x14ac:dyDescent="0.25">
      <c r="A2011" s="3" t="str">
        <f>HYPERLINK("http://www.ncbi.nlm.nih.gov/gene/10379","10379")</f>
        <v>10379</v>
      </c>
      <c r="B2011" s="1" t="s">
        <v>4833</v>
      </c>
      <c r="C2011" t="s">
        <v>4834</v>
      </c>
      <c r="D2011">
        <v>139.69999999999999</v>
      </c>
      <c r="E2011">
        <v>138.5</v>
      </c>
      <c r="F2011">
        <v>100</v>
      </c>
      <c r="G2011">
        <v>100</v>
      </c>
      <c r="H2011">
        <v>143.69999999999999</v>
      </c>
      <c r="I2011">
        <v>147.69999999999999</v>
      </c>
      <c r="J2011">
        <v>100</v>
      </c>
      <c r="K2011">
        <v>100</v>
      </c>
      <c r="L2011" s="1" t="s">
        <v>4833</v>
      </c>
      <c r="M2011" t="s">
        <v>1097</v>
      </c>
      <c r="N2011">
        <v>3</v>
      </c>
    </row>
    <row r="2012" spans="1:14" x14ac:dyDescent="0.25">
      <c r="A2012" s="3" t="str">
        <f>HYPERLINK("http://www.ncbi.nlm.nih.gov/gene/345611","345611")</f>
        <v>345611</v>
      </c>
      <c r="B2012" s="1" t="s">
        <v>4835</v>
      </c>
      <c r="C2012" t="s">
        <v>4836</v>
      </c>
      <c r="D2012">
        <v>117.2</v>
      </c>
      <c r="E2012">
        <v>124.7</v>
      </c>
      <c r="F2012">
        <v>100</v>
      </c>
      <c r="G2012">
        <v>100</v>
      </c>
      <c r="H2012">
        <v>146.69999999999999</v>
      </c>
      <c r="I2012">
        <v>154.4</v>
      </c>
      <c r="J2012">
        <v>100</v>
      </c>
      <c r="K2012">
        <v>100</v>
      </c>
      <c r="L2012" s="1" t="s">
        <v>4835</v>
      </c>
      <c r="M2012" t="s">
        <v>562</v>
      </c>
      <c r="N2012">
        <v>2</v>
      </c>
    </row>
    <row r="2013" spans="1:14" x14ac:dyDescent="0.25">
      <c r="A2013" s="3" t="str">
        <f>HYPERLINK("http://www.ncbi.nlm.nih.gov/gene/8471","8471")</f>
        <v>8471</v>
      </c>
      <c r="B2013" s="1" t="s">
        <v>4837</v>
      </c>
      <c r="C2013" t="s">
        <v>4838</v>
      </c>
      <c r="D2013">
        <v>161.5</v>
      </c>
      <c r="E2013">
        <v>147</v>
      </c>
      <c r="F2013">
        <v>100</v>
      </c>
      <c r="G2013">
        <v>100</v>
      </c>
      <c r="H2013">
        <v>145.9</v>
      </c>
      <c r="I2013">
        <v>149.4</v>
      </c>
      <c r="J2013">
        <v>100</v>
      </c>
      <c r="K2013">
        <v>100</v>
      </c>
      <c r="L2013" s="1" t="s">
        <v>4837</v>
      </c>
      <c r="M2013" t="s">
        <v>868</v>
      </c>
      <c r="N2013">
        <v>1</v>
      </c>
    </row>
    <row r="2014" spans="1:14" x14ac:dyDescent="0.25">
      <c r="A2014" s="3" t="str">
        <f>HYPERLINK("http://www.ncbi.nlm.nih.gov/gene/79192","79192")</f>
        <v>79192</v>
      </c>
      <c r="B2014" s="1" t="s">
        <v>4839</v>
      </c>
      <c r="C2014" t="s">
        <v>4840</v>
      </c>
      <c r="D2014">
        <v>149.1</v>
      </c>
      <c r="E2014">
        <v>135.1</v>
      </c>
      <c r="F2014">
        <v>87.4</v>
      </c>
      <c r="G2014">
        <v>81.3</v>
      </c>
      <c r="H2014">
        <v>154.1</v>
      </c>
      <c r="I2014">
        <v>150.5</v>
      </c>
      <c r="J2014">
        <v>97.7</v>
      </c>
      <c r="K2014">
        <v>94</v>
      </c>
      <c r="L2014" s="1" t="s">
        <v>4839</v>
      </c>
      <c r="M2014" t="s">
        <v>302</v>
      </c>
      <c r="N2014">
        <v>2</v>
      </c>
    </row>
    <row r="2015" spans="1:14" x14ac:dyDescent="0.25">
      <c r="A2015" s="3" t="str">
        <f>HYPERLINK("http://www.ncbi.nlm.nih.gov/gene/153572","153572")</f>
        <v>153572</v>
      </c>
      <c r="B2015" s="1" t="s">
        <v>4841</v>
      </c>
      <c r="C2015" t="s">
        <v>4842</v>
      </c>
      <c r="D2015">
        <v>60.2</v>
      </c>
      <c r="E2015">
        <v>48.8</v>
      </c>
      <c r="F2015">
        <v>92.9</v>
      </c>
      <c r="G2015">
        <v>76.5</v>
      </c>
      <c r="H2015">
        <v>123.2</v>
      </c>
      <c r="I2015">
        <v>121.7</v>
      </c>
      <c r="J2015">
        <v>100</v>
      </c>
      <c r="K2015">
        <v>99.7</v>
      </c>
      <c r="L2015" s="1" t="s">
        <v>4841</v>
      </c>
      <c r="M2015" t="s">
        <v>661</v>
      </c>
      <c r="N2015">
        <v>2</v>
      </c>
    </row>
    <row r="2016" spans="1:14" x14ac:dyDescent="0.25">
      <c r="A2016" s="3" t="str">
        <f>HYPERLINK("http://www.ncbi.nlm.nih.gov/gene/50805","50805")</f>
        <v>50805</v>
      </c>
      <c r="B2016" s="1" t="s">
        <v>4843</v>
      </c>
      <c r="C2016" t="s">
        <v>4844</v>
      </c>
      <c r="D2016">
        <v>145.80000000000001</v>
      </c>
      <c r="E2016">
        <v>126.7</v>
      </c>
      <c r="F2016">
        <v>98</v>
      </c>
      <c r="G2016">
        <v>94.8</v>
      </c>
      <c r="H2016">
        <v>141.5</v>
      </c>
      <c r="I2016">
        <v>139.80000000000001</v>
      </c>
      <c r="J2016">
        <v>100</v>
      </c>
      <c r="K2016">
        <v>100</v>
      </c>
      <c r="L2016" s="1" t="s">
        <v>4843</v>
      </c>
      <c r="M2016" t="s">
        <v>661</v>
      </c>
      <c r="N2016">
        <v>2</v>
      </c>
    </row>
    <row r="2017" spans="1:14" x14ac:dyDescent="0.25">
      <c r="A2017" s="3" t="str">
        <f>HYPERLINK("http://www.ncbi.nlm.nih.gov/gene/10265","10265")</f>
        <v>10265</v>
      </c>
      <c r="B2017" s="1" t="s">
        <v>4845</v>
      </c>
      <c r="C2017" t="s">
        <v>4846</v>
      </c>
      <c r="D2017">
        <v>110.7</v>
      </c>
      <c r="E2017">
        <v>101.5</v>
      </c>
      <c r="F2017">
        <v>99.9</v>
      </c>
      <c r="G2017">
        <v>98.2</v>
      </c>
      <c r="H2017">
        <v>139.1</v>
      </c>
      <c r="I2017">
        <v>145.4</v>
      </c>
      <c r="J2017">
        <v>100</v>
      </c>
      <c r="K2017">
        <v>99.8</v>
      </c>
      <c r="L2017" s="1" t="s">
        <v>4845</v>
      </c>
      <c r="M2017" t="s">
        <v>53</v>
      </c>
      <c r="N2017">
        <v>2</v>
      </c>
    </row>
    <row r="2018" spans="1:14" x14ac:dyDescent="0.25">
      <c r="A2018" s="3" t="str">
        <f>HYPERLINK("http://www.ncbi.nlm.nih.gov/gene/81689","81689")</f>
        <v>81689</v>
      </c>
      <c r="B2018" s="1" t="s">
        <v>4847</v>
      </c>
      <c r="C2018" t="s">
        <v>4848</v>
      </c>
      <c r="D2018">
        <v>58.4</v>
      </c>
      <c r="E2018">
        <v>54.5</v>
      </c>
      <c r="F2018">
        <v>94.2</v>
      </c>
      <c r="G2018">
        <v>85.9</v>
      </c>
      <c r="H2018">
        <v>128.80000000000001</v>
      </c>
      <c r="I2018">
        <v>131.6</v>
      </c>
      <c r="J2018">
        <v>95.1</v>
      </c>
      <c r="K2018">
        <v>95.1</v>
      </c>
      <c r="L2018" s="1" t="s">
        <v>4847</v>
      </c>
      <c r="M2018" t="s">
        <v>766</v>
      </c>
      <c r="N2018">
        <v>3</v>
      </c>
    </row>
    <row r="2019" spans="1:14" x14ac:dyDescent="0.25">
      <c r="A2019" s="3" t="str">
        <f>HYPERLINK("http://www.ncbi.nlm.nih.gov/gene/122961","122961")</f>
        <v>122961</v>
      </c>
      <c r="B2019" s="1" t="s">
        <v>4849</v>
      </c>
      <c r="C2019" t="s">
        <v>4850</v>
      </c>
      <c r="D2019">
        <v>126.9</v>
      </c>
      <c r="E2019">
        <v>126.3</v>
      </c>
      <c r="F2019">
        <v>100</v>
      </c>
      <c r="G2019">
        <v>98.8</v>
      </c>
      <c r="H2019">
        <v>144.9</v>
      </c>
      <c r="I2019">
        <v>148.6</v>
      </c>
      <c r="J2019">
        <v>100</v>
      </c>
      <c r="K2019">
        <v>100</v>
      </c>
      <c r="L2019" s="1" t="s">
        <v>4849</v>
      </c>
      <c r="M2019" t="s">
        <v>597</v>
      </c>
      <c r="N2019">
        <v>5</v>
      </c>
    </row>
    <row r="2020" spans="1:14" x14ac:dyDescent="0.25">
      <c r="A2020" s="3" t="str">
        <f>HYPERLINK("http://www.ncbi.nlm.nih.gov/gene/23479","23479")</f>
        <v>23479</v>
      </c>
      <c r="B2020" s="1" t="s">
        <v>4851</v>
      </c>
      <c r="C2020" t="s">
        <v>4852</v>
      </c>
      <c r="D2020">
        <v>133.9</v>
      </c>
      <c r="E2020">
        <v>135.30000000000001</v>
      </c>
      <c r="F2020">
        <v>100</v>
      </c>
      <c r="G2020">
        <v>100</v>
      </c>
      <c r="H2020">
        <v>129.80000000000001</v>
      </c>
      <c r="I2020">
        <v>132</v>
      </c>
      <c r="J2020">
        <v>100</v>
      </c>
      <c r="K2020">
        <v>100</v>
      </c>
      <c r="L2020" s="1" t="s">
        <v>4851</v>
      </c>
      <c r="M2020" t="s">
        <v>4853</v>
      </c>
      <c r="N2020">
        <v>4</v>
      </c>
    </row>
    <row r="2021" spans="1:14" x14ac:dyDescent="0.25">
      <c r="A2021" s="3" t="str">
        <f>HYPERLINK("http://www.ncbi.nlm.nih.gov/gene/9636","9636")</f>
        <v>9636</v>
      </c>
      <c r="B2021" s="1" t="s">
        <v>4854</v>
      </c>
      <c r="C2021" t="s">
        <v>4855</v>
      </c>
      <c r="D2021">
        <v>150.30000000000001</v>
      </c>
      <c r="E2021">
        <v>150.69999999999999</v>
      </c>
      <c r="F2021">
        <v>100</v>
      </c>
      <c r="G2021">
        <v>100</v>
      </c>
      <c r="H2021">
        <v>145.4</v>
      </c>
      <c r="I2021">
        <v>146.6</v>
      </c>
      <c r="J2021">
        <v>100</v>
      </c>
      <c r="K2021">
        <v>100</v>
      </c>
      <c r="L2021" s="1" t="s">
        <v>4854</v>
      </c>
      <c r="M2021" t="s">
        <v>1097</v>
      </c>
      <c r="N2021">
        <v>3</v>
      </c>
    </row>
    <row r="2022" spans="1:14" x14ac:dyDescent="0.25">
      <c r="A2022" s="3" t="str">
        <f>HYPERLINK("http://www.ncbi.nlm.nih.gov/gene/83737","83737")</f>
        <v>83737</v>
      </c>
      <c r="B2022" s="1" t="s">
        <v>4856</v>
      </c>
      <c r="C2022" t="s">
        <v>4857</v>
      </c>
      <c r="D2022">
        <v>129.6</v>
      </c>
      <c r="E2022">
        <v>133.69999999999999</v>
      </c>
      <c r="F2022">
        <v>91.6</v>
      </c>
      <c r="G2022">
        <v>91.3</v>
      </c>
      <c r="H2022">
        <v>128.80000000000001</v>
      </c>
      <c r="I2022">
        <v>132.19999999999999</v>
      </c>
      <c r="J2022">
        <v>95.9</v>
      </c>
      <c r="K2022">
        <v>95</v>
      </c>
      <c r="L2022" s="1" t="s">
        <v>4856</v>
      </c>
      <c r="M2022" t="s">
        <v>4858</v>
      </c>
      <c r="N2022">
        <v>4</v>
      </c>
    </row>
    <row r="2023" spans="1:14" x14ac:dyDescent="0.25">
      <c r="A2023" s="3" t="str">
        <f>HYPERLINK("http://www.ncbi.nlm.nih.gov/gene/3673","3673")</f>
        <v>3673</v>
      </c>
      <c r="B2023" s="1" t="s">
        <v>4859</v>
      </c>
      <c r="C2023" t="s">
        <v>4860</v>
      </c>
      <c r="D2023">
        <v>156</v>
      </c>
      <c r="E2023">
        <v>161.80000000000001</v>
      </c>
      <c r="F2023">
        <v>99.6</v>
      </c>
      <c r="G2023">
        <v>98.1</v>
      </c>
      <c r="H2023">
        <v>133.1</v>
      </c>
      <c r="I2023">
        <v>136.6</v>
      </c>
      <c r="J2023">
        <v>100</v>
      </c>
      <c r="K2023">
        <v>100</v>
      </c>
      <c r="L2023" s="1" t="s">
        <v>4859</v>
      </c>
      <c r="M2023" t="s">
        <v>16</v>
      </c>
      <c r="N2023">
        <v>2</v>
      </c>
    </row>
    <row r="2024" spans="1:14" x14ac:dyDescent="0.25">
      <c r="A2024" s="3" t="str">
        <f>HYPERLINK("http://www.ncbi.nlm.nih.gov/gene/3674","3674")</f>
        <v>3674</v>
      </c>
      <c r="B2024" s="1" t="s">
        <v>4861</v>
      </c>
      <c r="C2024" t="s">
        <v>4862</v>
      </c>
      <c r="D2024">
        <v>131.9</v>
      </c>
      <c r="E2024">
        <v>133</v>
      </c>
      <c r="F2024">
        <v>99.7</v>
      </c>
      <c r="G2024">
        <v>97.8</v>
      </c>
      <c r="H2024">
        <v>143.69999999999999</v>
      </c>
      <c r="I2024">
        <v>146.80000000000001</v>
      </c>
      <c r="J2024">
        <v>100</v>
      </c>
      <c r="K2024">
        <v>100</v>
      </c>
      <c r="L2024" s="1" t="s">
        <v>4861</v>
      </c>
      <c r="M2024" t="s">
        <v>3345</v>
      </c>
      <c r="N2024">
        <v>3</v>
      </c>
    </row>
    <row r="2025" spans="1:14" x14ac:dyDescent="0.25">
      <c r="A2025" s="3" t="str">
        <f>HYPERLINK("http://www.ncbi.nlm.nih.gov/gene/3675","3675")</f>
        <v>3675</v>
      </c>
      <c r="B2025" s="1" t="s">
        <v>4863</v>
      </c>
      <c r="C2025" t="s">
        <v>4864</v>
      </c>
      <c r="D2025">
        <v>154.4</v>
      </c>
      <c r="E2025">
        <v>162.19999999999999</v>
      </c>
      <c r="F2025">
        <v>99.5</v>
      </c>
      <c r="G2025">
        <v>97.4</v>
      </c>
      <c r="H2025">
        <v>142.19999999999999</v>
      </c>
      <c r="I2025">
        <v>145.69999999999999</v>
      </c>
      <c r="J2025">
        <v>100</v>
      </c>
      <c r="K2025">
        <v>100</v>
      </c>
      <c r="L2025" s="1" t="s">
        <v>4863</v>
      </c>
      <c r="M2025" t="s">
        <v>1956</v>
      </c>
      <c r="N2025">
        <v>4</v>
      </c>
    </row>
    <row r="2026" spans="1:14" x14ac:dyDescent="0.25">
      <c r="A2026" s="3" t="str">
        <f>HYPERLINK("http://www.ncbi.nlm.nih.gov/gene/3655","3655")</f>
        <v>3655</v>
      </c>
      <c r="B2026" s="1" t="s">
        <v>4865</v>
      </c>
      <c r="C2026" t="s">
        <v>4866</v>
      </c>
      <c r="D2026">
        <v>156.6</v>
      </c>
      <c r="E2026">
        <v>162</v>
      </c>
      <c r="F2026">
        <v>99.9</v>
      </c>
      <c r="G2026">
        <v>98.9</v>
      </c>
      <c r="H2026">
        <v>122.6</v>
      </c>
      <c r="I2026">
        <v>126.4</v>
      </c>
      <c r="J2026">
        <v>100</v>
      </c>
      <c r="K2026">
        <v>100</v>
      </c>
      <c r="L2026" s="1" t="s">
        <v>4865</v>
      </c>
      <c r="M2026" t="s">
        <v>4867</v>
      </c>
      <c r="N2026">
        <v>4</v>
      </c>
    </row>
    <row r="2027" spans="1:14" x14ac:dyDescent="0.25">
      <c r="A2027" s="3" t="str">
        <f>HYPERLINK("http://www.ncbi.nlm.nih.gov/gene/3679","3679")</f>
        <v>3679</v>
      </c>
      <c r="B2027" s="1" t="s">
        <v>4868</v>
      </c>
      <c r="D2027">
        <v>138.69999999999999</v>
      </c>
      <c r="E2027">
        <v>142.30000000000001</v>
      </c>
      <c r="F2027">
        <v>99.6</v>
      </c>
      <c r="G2027">
        <v>98</v>
      </c>
      <c r="H2027">
        <v>135.69999999999999</v>
      </c>
      <c r="I2027">
        <v>139</v>
      </c>
      <c r="J2027">
        <v>100</v>
      </c>
      <c r="K2027">
        <v>100</v>
      </c>
      <c r="L2027" s="1" t="s">
        <v>4868</v>
      </c>
      <c r="M2027" t="s">
        <v>2554</v>
      </c>
      <c r="N2027">
        <v>4</v>
      </c>
    </row>
    <row r="2028" spans="1:14" x14ac:dyDescent="0.25">
      <c r="A2028" s="3" t="str">
        <f>HYPERLINK("http://www.ncbi.nlm.nih.gov/gene/8516","8516")</f>
        <v>8516</v>
      </c>
      <c r="B2028" s="1" t="s">
        <v>4869</v>
      </c>
      <c r="D2028">
        <v>135.5</v>
      </c>
      <c r="E2028">
        <v>140.19999999999999</v>
      </c>
      <c r="F2028">
        <v>99.9</v>
      </c>
      <c r="G2028">
        <v>99.7</v>
      </c>
      <c r="H2028">
        <v>135.9</v>
      </c>
      <c r="I2028">
        <v>139.6</v>
      </c>
      <c r="J2028">
        <v>100</v>
      </c>
      <c r="K2028">
        <v>100</v>
      </c>
      <c r="L2028" s="1" t="s">
        <v>4869</v>
      </c>
      <c r="M2028" t="s">
        <v>357</v>
      </c>
      <c r="N2028">
        <v>3</v>
      </c>
    </row>
    <row r="2029" spans="1:14" x14ac:dyDescent="0.25">
      <c r="A2029" s="3" t="str">
        <f>HYPERLINK("http://www.ncbi.nlm.nih.gov/gene/3689","3689")</f>
        <v>3689</v>
      </c>
      <c r="B2029" s="1" t="s">
        <v>4870</v>
      </c>
      <c r="C2029" t="s">
        <v>4871</v>
      </c>
      <c r="D2029">
        <v>153.19999999999999</v>
      </c>
      <c r="E2029">
        <v>160.30000000000001</v>
      </c>
      <c r="F2029">
        <v>97.2</v>
      </c>
      <c r="G2029">
        <v>97.2</v>
      </c>
      <c r="H2029">
        <v>130.9</v>
      </c>
      <c r="I2029">
        <v>135.30000000000001</v>
      </c>
      <c r="J2029">
        <v>97.2</v>
      </c>
      <c r="K2029">
        <v>97.2</v>
      </c>
      <c r="L2029" s="1" t="s">
        <v>4870</v>
      </c>
      <c r="M2029" t="s">
        <v>1097</v>
      </c>
      <c r="N2029">
        <v>3</v>
      </c>
    </row>
    <row r="2030" spans="1:14" x14ac:dyDescent="0.25">
      <c r="A2030" s="3" t="str">
        <f>HYPERLINK("http://www.ncbi.nlm.nih.gov/gene/3690","3690")</f>
        <v>3690</v>
      </c>
      <c r="B2030" s="1" t="s">
        <v>4872</v>
      </c>
      <c r="C2030" t="s">
        <v>4873</v>
      </c>
      <c r="D2030">
        <v>118.2</v>
      </c>
      <c r="E2030">
        <v>122.8</v>
      </c>
      <c r="F2030">
        <v>100</v>
      </c>
      <c r="G2030">
        <v>99.4</v>
      </c>
      <c r="H2030">
        <v>137.1</v>
      </c>
      <c r="I2030">
        <v>140.1</v>
      </c>
      <c r="J2030">
        <v>100</v>
      </c>
      <c r="K2030">
        <v>100</v>
      </c>
      <c r="L2030" s="1" t="s">
        <v>4872</v>
      </c>
      <c r="M2030" t="s">
        <v>3340</v>
      </c>
      <c r="N2030">
        <v>3</v>
      </c>
    </row>
    <row r="2031" spans="1:14" x14ac:dyDescent="0.25">
      <c r="A2031" s="3" t="str">
        <f>HYPERLINK("http://www.ncbi.nlm.nih.gov/gene/3691","3691")</f>
        <v>3691</v>
      </c>
      <c r="B2031" s="1" t="s">
        <v>4874</v>
      </c>
      <c r="C2031" t="s">
        <v>4875</v>
      </c>
      <c r="D2031">
        <v>149.9</v>
      </c>
      <c r="E2031">
        <v>156.1</v>
      </c>
      <c r="F2031">
        <v>98.4</v>
      </c>
      <c r="G2031">
        <v>96.2</v>
      </c>
      <c r="H2031">
        <v>140.69999999999999</v>
      </c>
      <c r="I2031">
        <v>144.80000000000001</v>
      </c>
      <c r="J2031">
        <v>100</v>
      </c>
      <c r="K2031">
        <v>100</v>
      </c>
      <c r="L2031" s="1" t="s">
        <v>4874</v>
      </c>
      <c r="M2031" t="s">
        <v>4876</v>
      </c>
      <c r="N2031">
        <v>3</v>
      </c>
    </row>
    <row r="2032" spans="1:14" x14ac:dyDescent="0.25">
      <c r="A2032" s="3" t="str">
        <f>HYPERLINK("http://www.ncbi.nlm.nih.gov/gene/3694","3694")</f>
        <v>3694</v>
      </c>
      <c r="B2032" s="1" t="s">
        <v>4877</v>
      </c>
      <c r="C2032" t="s">
        <v>4878</v>
      </c>
      <c r="D2032">
        <v>148.80000000000001</v>
      </c>
      <c r="E2032">
        <v>158.30000000000001</v>
      </c>
      <c r="F2032">
        <v>97.2</v>
      </c>
      <c r="G2032">
        <v>95.8</v>
      </c>
      <c r="H2032">
        <v>132.5</v>
      </c>
      <c r="I2032">
        <v>136</v>
      </c>
      <c r="J2032">
        <v>100</v>
      </c>
      <c r="K2032">
        <v>100</v>
      </c>
      <c r="L2032" s="1" t="s">
        <v>4877</v>
      </c>
      <c r="M2032" t="s">
        <v>4879</v>
      </c>
      <c r="N2032">
        <v>4</v>
      </c>
    </row>
    <row r="2033" spans="1:14" x14ac:dyDescent="0.25">
      <c r="A2033" s="3" t="str">
        <f>HYPERLINK("http://www.ncbi.nlm.nih.gov/gene/3702","3702")</f>
        <v>3702</v>
      </c>
      <c r="B2033" s="1" t="s">
        <v>4880</v>
      </c>
      <c r="C2033" t="s">
        <v>4881</v>
      </c>
      <c r="D2033">
        <v>122.7</v>
      </c>
      <c r="E2033">
        <v>126.2</v>
      </c>
      <c r="F2033">
        <v>100</v>
      </c>
      <c r="G2033">
        <v>98.9</v>
      </c>
      <c r="H2033">
        <v>135.6</v>
      </c>
      <c r="I2033">
        <v>139</v>
      </c>
      <c r="J2033">
        <v>100</v>
      </c>
      <c r="K2033">
        <v>100</v>
      </c>
      <c r="L2033" s="1" t="s">
        <v>4880</v>
      </c>
      <c r="M2033" t="s">
        <v>1554</v>
      </c>
      <c r="N2033">
        <v>4</v>
      </c>
    </row>
    <row r="2034" spans="1:14" x14ac:dyDescent="0.25">
      <c r="A2034" s="3" t="str">
        <f>HYPERLINK("http://www.ncbi.nlm.nih.gov/gene/9445","9445")</f>
        <v>9445</v>
      </c>
      <c r="B2034" s="1" t="s">
        <v>4882</v>
      </c>
      <c r="C2034" t="s">
        <v>4883</v>
      </c>
      <c r="D2034">
        <v>146.19999999999999</v>
      </c>
      <c r="E2034">
        <v>155.19999999999999</v>
      </c>
      <c r="F2034">
        <v>100</v>
      </c>
      <c r="G2034">
        <v>99.8</v>
      </c>
      <c r="H2034">
        <v>113.6</v>
      </c>
      <c r="I2034">
        <v>116.6</v>
      </c>
      <c r="J2034">
        <v>100</v>
      </c>
      <c r="K2034">
        <v>100</v>
      </c>
      <c r="L2034" s="1" t="s">
        <v>4882</v>
      </c>
      <c r="M2034" t="s">
        <v>285</v>
      </c>
      <c r="N2034">
        <v>1</v>
      </c>
    </row>
    <row r="2035" spans="1:14" x14ac:dyDescent="0.25">
      <c r="A2035" s="3" t="str">
        <f>HYPERLINK("http://www.ncbi.nlm.nih.gov/gene/3704","3704")</f>
        <v>3704</v>
      </c>
      <c r="B2035" s="1" t="s">
        <v>4884</v>
      </c>
      <c r="C2035" t="s">
        <v>4885</v>
      </c>
      <c r="D2035">
        <v>147.30000000000001</v>
      </c>
      <c r="E2035">
        <v>149.19999999999999</v>
      </c>
      <c r="F2035">
        <v>100</v>
      </c>
      <c r="G2035">
        <v>100</v>
      </c>
      <c r="H2035">
        <v>150.9</v>
      </c>
      <c r="I2035">
        <v>153.1</v>
      </c>
      <c r="J2035">
        <v>100</v>
      </c>
      <c r="K2035">
        <v>100</v>
      </c>
      <c r="L2035" s="1" t="s">
        <v>4884</v>
      </c>
      <c r="M2035" t="s">
        <v>4886</v>
      </c>
      <c r="N2035">
        <v>6</v>
      </c>
    </row>
    <row r="2036" spans="1:14" x14ac:dyDescent="0.25">
      <c r="A2036" s="3" t="str">
        <f>HYPERLINK("http://www.ncbi.nlm.nih.gov/gene/3708","3708")</f>
        <v>3708</v>
      </c>
      <c r="B2036" s="1" t="s">
        <v>4887</v>
      </c>
      <c r="C2036" t="s">
        <v>4888</v>
      </c>
      <c r="D2036">
        <v>146.30000000000001</v>
      </c>
      <c r="E2036">
        <v>152.4</v>
      </c>
      <c r="F2036">
        <v>100</v>
      </c>
      <c r="G2036">
        <v>99.9</v>
      </c>
      <c r="H2036">
        <v>131.30000000000001</v>
      </c>
      <c r="I2036">
        <v>135.6</v>
      </c>
      <c r="J2036">
        <v>100</v>
      </c>
      <c r="K2036">
        <v>100</v>
      </c>
      <c r="L2036" s="1" t="s">
        <v>4887</v>
      </c>
      <c r="M2036" t="s">
        <v>4889</v>
      </c>
      <c r="N2036">
        <v>5</v>
      </c>
    </row>
    <row r="2037" spans="1:14" x14ac:dyDescent="0.25">
      <c r="A2037" s="3" t="str">
        <f>HYPERLINK("http://www.ncbi.nlm.nih.gov/gene/3709","3709")</f>
        <v>3709</v>
      </c>
      <c r="B2037" s="1" t="s">
        <v>4890</v>
      </c>
      <c r="C2037" t="s">
        <v>4891</v>
      </c>
      <c r="D2037">
        <v>152.1</v>
      </c>
      <c r="E2037">
        <v>156.80000000000001</v>
      </c>
      <c r="F2037">
        <v>99.9</v>
      </c>
      <c r="G2037">
        <v>99.3</v>
      </c>
      <c r="H2037">
        <v>133.80000000000001</v>
      </c>
      <c r="I2037">
        <v>137.9</v>
      </c>
      <c r="J2037">
        <v>100</v>
      </c>
      <c r="K2037">
        <v>100</v>
      </c>
      <c r="L2037" s="1" t="s">
        <v>4890</v>
      </c>
      <c r="M2037" t="s">
        <v>59</v>
      </c>
      <c r="N2037">
        <v>1</v>
      </c>
    </row>
    <row r="2038" spans="1:14" x14ac:dyDescent="0.25">
      <c r="A2038" s="3" t="str">
        <f>HYPERLINK("http://www.ncbi.nlm.nih.gov/gene/3710","3710")</f>
        <v>3710</v>
      </c>
      <c r="B2038" s="1" t="s">
        <v>4892</v>
      </c>
      <c r="C2038" t="s">
        <v>4893</v>
      </c>
      <c r="D2038">
        <v>146.80000000000001</v>
      </c>
      <c r="E2038">
        <v>152.6</v>
      </c>
      <c r="F2038">
        <v>100</v>
      </c>
      <c r="G2038">
        <v>99.7</v>
      </c>
      <c r="H2038">
        <v>136.4</v>
      </c>
      <c r="I2038">
        <v>140.6</v>
      </c>
      <c r="J2038">
        <v>100</v>
      </c>
      <c r="K2038">
        <v>100</v>
      </c>
      <c r="L2038" s="1" t="s">
        <v>4892</v>
      </c>
      <c r="M2038" t="s">
        <v>4894</v>
      </c>
      <c r="N2038">
        <v>3</v>
      </c>
    </row>
    <row r="2039" spans="1:14" x14ac:dyDescent="0.25">
      <c r="A2039" s="3" t="str">
        <f>HYPERLINK("http://www.ncbi.nlm.nih.gov/gene/6453","6453")</f>
        <v>6453</v>
      </c>
      <c r="B2039" s="1" t="s">
        <v>4895</v>
      </c>
      <c r="C2039" t="s">
        <v>4896</v>
      </c>
      <c r="D2039">
        <v>145</v>
      </c>
      <c r="E2039">
        <v>149.69999999999999</v>
      </c>
      <c r="F2039">
        <v>99.4</v>
      </c>
      <c r="G2039">
        <v>97.4</v>
      </c>
      <c r="H2039">
        <v>132.80000000000001</v>
      </c>
      <c r="I2039">
        <v>137.1</v>
      </c>
      <c r="J2039">
        <v>100</v>
      </c>
      <c r="K2039">
        <v>100</v>
      </c>
      <c r="L2039" s="1" t="s">
        <v>4895</v>
      </c>
      <c r="M2039" t="s">
        <v>998</v>
      </c>
      <c r="N2039">
        <v>2</v>
      </c>
    </row>
    <row r="2040" spans="1:14" x14ac:dyDescent="0.25">
      <c r="A2040" s="3" t="str">
        <f>HYPERLINK("http://www.ncbi.nlm.nih.gov/gene/50618","50618")</f>
        <v>50618</v>
      </c>
      <c r="B2040" s="1" t="s">
        <v>4897</v>
      </c>
      <c r="C2040" t="s">
        <v>4898</v>
      </c>
      <c r="D2040">
        <v>133.19999999999999</v>
      </c>
      <c r="E2040">
        <v>138.80000000000001</v>
      </c>
      <c r="F2040">
        <v>98.8</v>
      </c>
      <c r="G2040">
        <v>96.5</v>
      </c>
      <c r="H2040">
        <v>131.1</v>
      </c>
      <c r="I2040">
        <v>134.9</v>
      </c>
      <c r="J2040">
        <v>100</v>
      </c>
      <c r="K2040">
        <v>100</v>
      </c>
      <c r="L2040" s="1" t="s">
        <v>4897</v>
      </c>
      <c r="M2040" t="s">
        <v>998</v>
      </c>
      <c r="N2040">
        <v>2</v>
      </c>
    </row>
    <row r="2041" spans="1:14" x14ac:dyDescent="0.25">
      <c r="A2041" s="3" t="str">
        <f>HYPERLINK("http://www.ncbi.nlm.nih.gov/gene/3712","3712")</f>
        <v>3712</v>
      </c>
      <c r="B2041" s="1" t="s">
        <v>4899</v>
      </c>
      <c r="C2041" t="s">
        <v>4900</v>
      </c>
      <c r="D2041">
        <v>97.9</v>
      </c>
      <c r="E2041">
        <v>101.1</v>
      </c>
      <c r="F2041">
        <v>100</v>
      </c>
      <c r="G2041">
        <v>100</v>
      </c>
      <c r="H2041">
        <v>134.9</v>
      </c>
      <c r="I2041">
        <v>138.6</v>
      </c>
      <c r="J2041">
        <v>100</v>
      </c>
      <c r="K2041">
        <v>100</v>
      </c>
      <c r="L2041" s="1" t="s">
        <v>4899</v>
      </c>
      <c r="M2041" t="s">
        <v>99</v>
      </c>
      <c r="N2041">
        <v>5</v>
      </c>
    </row>
    <row r="2042" spans="1:14" x14ac:dyDescent="0.25">
      <c r="A2042" s="3" t="str">
        <f>HYPERLINK("http://www.ncbi.nlm.nih.gov/gene/10625","10625")</f>
        <v>10625</v>
      </c>
      <c r="B2042" s="1" t="s">
        <v>4901</v>
      </c>
      <c r="C2042" t="s">
        <v>4902</v>
      </c>
      <c r="D2042">
        <v>147.9</v>
      </c>
      <c r="E2042">
        <v>154.1</v>
      </c>
      <c r="F2042">
        <v>99.9</v>
      </c>
      <c r="G2042">
        <v>98.4</v>
      </c>
      <c r="H2042">
        <v>143.6</v>
      </c>
      <c r="I2042">
        <v>147.80000000000001</v>
      </c>
      <c r="J2042">
        <v>100</v>
      </c>
      <c r="K2042">
        <v>100</v>
      </c>
      <c r="L2042" s="1" t="s">
        <v>4901</v>
      </c>
      <c r="M2042" t="s">
        <v>562</v>
      </c>
      <c r="N2042">
        <v>2</v>
      </c>
    </row>
    <row r="2043" spans="1:14" x14ac:dyDescent="0.25">
      <c r="A2043" s="3" t="str">
        <f>HYPERLINK("http://www.ncbi.nlm.nih.gov/gene/389434","389434")</f>
        <v>389434</v>
      </c>
      <c r="B2043" s="1" t="s">
        <v>4903</v>
      </c>
      <c r="C2043" t="s">
        <v>4904</v>
      </c>
      <c r="D2043">
        <v>121.6</v>
      </c>
      <c r="E2043">
        <v>130.5</v>
      </c>
      <c r="F2043">
        <v>99.5</v>
      </c>
      <c r="G2043">
        <v>95.7</v>
      </c>
      <c r="H2043">
        <v>127.2</v>
      </c>
      <c r="I2043">
        <v>131.30000000000001</v>
      </c>
      <c r="J2043">
        <v>100</v>
      </c>
      <c r="K2043">
        <v>100</v>
      </c>
      <c r="L2043" s="1" t="s">
        <v>4903</v>
      </c>
      <c r="M2043" t="s">
        <v>53</v>
      </c>
      <c r="N2043">
        <v>2</v>
      </c>
    </row>
    <row r="2044" spans="1:14" x14ac:dyDescent="0.25">
      <c r="A2044" s="3" t="str">
        <f>HYPERLINK("http://www.ncbi.nlm.nih.gov/gene/182","182")</f>
        <v>182</v>
      </c>
      <c r="B2044" s="1" t="s">
        <v>4905</v>
      </c>
      <c r="C2044" t="s">
        <v>4906</v>
      </c>
      <c r="D2044">
        <v>142.69999999999999</v>
      </c>
      <c r="E2044">
        <v>147.4</v>
      </c>
      <c r="F2044">
        <v>97.7</v>
      </c>
      <c r="G2044">
        <v>96.8</v>
      </c>
      <c r="H2044">
        <v>153.6</v>
      </c>
      <c r="I2044">
        <v>157.4</v>
      </c>
      <c r="J2044">
        <v>100</v>
      </c>
      <c r="K2044">
        <v>100</v>
      </c>
      <c r="L2044" s="1" t="s">
        <v>4905</v>
      </c>
      <c r="M2044" t="s">
        <v>4907</v>
      </c>
      <c r="N2044">
        <v>9</v>
      </c>
    </row>
    <row r="2045" spans="1:14" x14ac:dyDescent="0.25">
      <c r="A2045" s="3" t="str">
        <f>HYPERLINK("http://www.ncbi.nlm.nih.gov/gene/84522","84522")</f>
        <v>84522</v>
      </c>
      <c r="B2045" s="1" t="s">
        <v>4908</v>
      </c>
      <c r="C2045" t="s">
        <v>4909</v>
      </c>
      <c r="D2045">
        <v>125.6</v>
      </c>
      <c r="E2045">
        <v>119.7</v>
      </c>
      <c r="F2045">
        <v>100</v>
      </c>
      <c r="G2045">
        <v>100</v>
      </c>
      <c r="H2045">
        <v>131.1</v>
      </c>
      <c r="I2045">
        <v>134.69999999999999</v>
      </c>
      <c r="J2045">
        <v>99.7</v>
      </c>
      <c r="K2045">
        <v>98</v>
      </c>
      <c r="L2045" s="1" t="s">
        <v>4908</v>
      </c>
      <c r="M2045" t="s">
        <v>4910</v>
      </c>
      <c r="N2045">
        <v>4</v>
      </c>
    </row>
    <row r="2046" spans="1:14" x14ac:dyDescent="0.25">
      <c r="A2046" s="3" t="str">
        <f>HYPERLINK("http://www.ncbi.nlm.nih.gov/gene/3716","3716")</f>
        <v>3716</v>
      </c>
      <c r="B2046" s="1" t="s">
        <v>4911</v>
      </c>
      <c r="C2046" t="s">
        <v>4912</v>
      </c>
      <c r="D2046">
        <v>124.1</v>
      </c>
      <c r="E2046">
        <v>132.4</v>
      </c>
      <c r="F2046">
        <v>100</v>
      </c>
      <c r="G2046">
        <v>99.8</v>
      </c>
      <c r="H2046">
        <v>136.6</v>
      </c>
      <c r="I2046">
        <v>140.4</v>
      </c>
      <c r="J2046">
        <v>100</v>
      </c>
      <c r="K2046">
        <v>99.7</v>
      </c>
      <c r="L2046" s="1" t="s">
        <v>4911</v>
      </c>
      <c r="M2046" t="s">
        <v>4913</v>
      </c>
      <c r="N2046">
        <v>2</v>
      </c>
    </row>
    <row r="2047" spans="1:14" x14ac:dyDescent="0.25">
      <c r="A2047" s="3" t="str">
        <f>HYPERLINK("http://www.ncbi.nlm.nih.gov/gene/3717","3717")</f>
        <v>3717</v>
      </c>
      <c r="B2047" s="1" t="s">
        <v>4914</v>
      </c>
      <c r="C2047" t="s">
        <v>4915</v>
      </c>
      <c r="D2047">
        <v>121.9</v>
      </c>
      <c r="E2047">
        <v>127.4</v>
      </c>
      <c r="F2047">
        <v>98.1</v>
      </c>
      <c r="G2047">
        <v>95.8</v>
      </c>
      <c r="H2047">
        <v>111.8</v>
      </c>
      <c r="I2047">
        <v>115.1</v>
      </c>
      <c r="J2047">
        <v>100</v>
      </c>
      <c r="K2047">
        <v>100</v>
      </c>
      <c r="L2047" s="1" t="s">
        <v>4914</v>
      </c>
      <c r="M2047" t="s">
        <v>4916</v>
      </c>
      <c r="N2047">
        <v>4</v>
      </c>
    </row>
    <row r="2048" spans="1:14" x14ac:dyDescent="0.25">
      <c r="A2048" s="3" t="str">
        <f>HYPERLINK("http://www.ncbi.nlm.nih.gov/gene/3718","3718")</f>
        <v>3718</v>
      </c>
      <c r="B2048" s="1" t="s">
        <v>4917</v>
      </c>
      <c r="C2048" t="s">
        <v>4918</v>
      </c>
      <c r="D2048">
        <v>122.4</v>
      </c>
      <c r="E2048">
        <v>127.9</v>
      </c>
      <c r="F2048">
        <v>99.9</v>
      </c>
      <c r="G2048">
        <v>98.7</v>
      </c>
      <c r="H2048">
        <v>149</v>
      </c>
      <c r="I2048">
        <v>153.80000000000001</v>
      </c>
      <c r="J2048">
        <v>100</v>
      </c>
      <c r="K2048">
        <v>100</v>
      </c>
      <c r="L2048" s="1" t="s">
        <v>4917</v>
      </c>
      <c r="M2048" t="s">
        <v>1551</v>
      </c>
      <c r="N2048">
        <v>4</v>
      </c>
    </row>
    <row r="2049" spans="1:14" x14ac:dyDescent="0.25">
      <c r="A2049" s="3" t="str">
        <f>HYPERLINK("http://www.ncbi.nlm.nih.gov/gene/58494","58494")</f>
        <v>58494</v>
      </c>
      <c r="B2049" s="1" t="s">
        <v>4919</v>
      </c>
      <c r="C2049" t="s">
        <v>4920</v>
      </c>
      <c r="D2049">
        <v>125.9</v>
      </c>
      <c r="E2049">
        <v>129</v>
      </c>
      <c r="F2049">
        <v>100</v>
      </c>
      <c r="G2049">
        <v>99.9</v>
      </c>
      <c r="H2049">
        <v>122.7</v>
      </c>
      <c r="I2049">
        <v>125.8</v>
      </c>
      <c r="J2049">
        <v>92.3</v>
      </c>
      <c r="K2049">
        <v>92.3</v>
      </c>
      <c r="L2049" s="1" t="s">
        <v>4919</v>
      </c>
      <c r="M2049" t="s">
        <v>838</v>
      </c>
      <c r="N2049">
        <v>3</v>
      </c>
    </row>
    <row r="2050" spans="1:14" x14ac:dyDescent="0.25">
      <c r="A2050" s="3" t="str">
        <f>HYPERLINK("http://www.ncbi.nlm.nih.gov/gene/83700","83700")</f>
        <v>83700</v>
      </c>
      <c r="B2050" s="1" t="s">
        <v>4921</v>
      </c>
      <c r="C2050" t="s">
        <v>4922</v>
      </c>
      <c r="D2050">
        <v>143.9</v>
      </c>
      <c r="E2050">
        <v>149.80000000000001</v>
      </c>
      <c r="F2050">
        <v>100</v>
      </c>
      <c r="G2050">
        <v>99.9</v>
      </c>
      <c r="H2050">
        <v>132.6</v>
      </c>
      <c r="I2050">
        <v>135.6</v>
      </c>
      <c r="J2050">
        <v>100</v>
      </c>
      <c r="K2050">
        <v>100</v>
      </c>
      <c r="L2050" s="1" t="s">
        <v>4921</v>
      </c>
      <c r="M2050" t="s">
        <v>4923</v>
      </c>
      <c r="N2050">
        <v>6</v>
      </c>
    </row>
    <row r="2051" spans="1:14" x14ac:dyDescent="0.25">
      <c r="A2051" s="3" t="str">
        <f>HYPERLINK("http://www.ncbi.nlm.nih.gov/gene/221037","221037")</f>
        <v>221037</v>
      </c>
      <c r="B2051" s="1" t="s">
        <v>4924</v>
      </c>
      <c r="C2051" t="s">
        <v>4925</v>
      </c>
      <c r="D2051">
        <v>163.19999999999999</v>
      </c>
      <c r="E2051">
        <v>161.1</v>
      </c>
      <c r="F2051">
        <v>99.9</v>
      </c>
      <c r="G2051">
        <v>99.2</v>
      </c>
      <c r="H2051">
        <v>144.9</v>
      </c>
      <c r="I2051">
        <v>147.4</v>
      </c>
      <c r="J2051">
        <v>100</v>
      </c>
      <c r="K2051">
        <v>100</v>
      </c>
      <c r="L2051" s="1" t="s">
        <v>4924</v>
      </c>
      <c r="M2051" t="s">
        <v>189</v>
      </c>
      <c r="N2051">
        <v>2</v>
      </c>
    </row>
    <row r="2052" spans="1:14" x14ac:dyDescent="0.25">
      <c r="A2052" s="3" t="str">
        <f>HYPERLINK("http://www.ncbi.nlm.nih.gov/gene/56704","56704")</f>
        <v>56704</v>
      </c>
      <c r="B2052" s="1" t="s">
        <v>4926</v>
      </c>
      <c r="C2052" t="s">
        <v>4927</v>
      </c>
      <c r="D2052">
        <v>162.30000000000001</v>
      </c>
      <c r="E2052">
        <v>164.8</v>
      </c>
      <c r="F2052">
        <v>100</v>
      </c>
      <c r="G2052">
        <v>99.9</v>
      </c>
      <c r="H2052">
        <v>175.6</v>
      </c>
      <c r="I2052">
        <v>178.6</v>
      </c>
      <c r="J2052">
        <v>100</v>
      </c>
      <c r="K2052">
        <v>100</v>
      </c>
      <c r="L2052" s="1" t="s">
        <v>4926</v>
      </c>
      <c r="M2052" t="s">
        <v>675</v>
      </c>
      <c r="N2052">
        <v>2</v>
      </c>
    </row>
    <row r="2053" spans="1:14" x14ac:dyDescent="0.25">
      <c r="A2053" s="3" t="str">
        <f>HYPERLINK("http://www.ncbi.nlm.nih.gov/gene/57158","57158")</f>
        <v>57158</v>
      </c>
      <c r="B2053" s="1" t="s">
        <v>4928</v>
      </c>
      <c r="C2053" t="s">
        <v>4929</v>
      </c>
      <c r="D2053">
        <v>93.5</v>
      </c>
      <c r="E2053">
        <v>82.5</v>
      </c>
      <c r="F2053">
        <v>95.5</v>
      </c>
      <c r="G2053">
        <v>80.3</v>
      </c>
      <c r="H2053">
        <v>150.30000000000001</v>
      </c>
      <c r="I2053">
        <v>151.30000000000001</v>
      </c>
      <c r="J2053">
        <v>100</v>
      </c>
      <c r="K2053">
        <v>100</v>
      </c>
      <c r="L2053" s="1" t="s">
        <v>4928</v>
      </c>
      <c r="M2053" t="s">
        <v>197</v>
      </c>
      <c r="N2053">
        <v>2</v>
      </c>
    </row>
    <row r="2054" spans="1:14" x14ac:dyDescent="0.25">
      <c r="A2054" s="3" t="str">
        <f>HYPERLINK("http://www.ncbi.nlm.nih.gov/gene/57338","57338")</f>
        <v>57338</v>
      </c>
      <c r="B2054" s="1" t="s">
        <v>4930</v>
      </c>
      <c r="C2054" t="s">
        <v>4931</v>
      </c>
      <c r="D2054">
        <v>155.5</v>
      </c>
      <c r="E2054">
        <v>159.69999999999999</v>
      </c>
      <c r="F2054">
        <v>100</v>
      </c>
      <c r="G2054">
        <v>99.8</v>
      </c>
      <c r="H2054">
        <v>164.6</v>
      </c>
      <c r="I2054">
        <v>162.19999999999999</v>
      </c>
      <c r="J2054">
        <v>100</v>
      </c>
      <c r="K2054">
        <v>100</v>
      </c>
      <c r="L2054" s="1" t="s">
        <v>4930</v>
      </c>
      <c r="M2054" t="s">
        <v>285</v>
      </c>
      <c r="N2054">
        <v>1</v>
      </c>
    </row>
    <row r="2055" spans="1:14" x14ac:dyDescent="0.25">
      <c r="A2055" s="3" t="str">
        <f>HYPERLINK("http://www.ncbi.nlm.nih.gov/gene/3728","3728")</f>
        <v>3728</v>
      </c>
      <c r="B2055" s="1" t="s">
        <v>4932</v>
      </c>
      <c r="C2055" t="s">
        <v>4933</v>
      </c>
      <c r="D2055">
        <v>123.7</v>
      </c>
      <c r="E2055">
        <v>128.4</v>
      </c>
      <c r="F2055">
        <v>100</v>
      </c>
      <c r="G2055">
        <v>99.5</v>
      </c>
      <c r="H2055">
        <v>138.9</v>
      </c>
      <c r="I2055">
        <v>143.69999999999999</v>
      </c>
      <c r="J2055">
        <v>100</v>
      </c>
      <c r="K2055">
        <v>100</v>
      </c>
      <c r="L2055" s="1" t="s">
        <v>4932</v>
      </c>
      <c r="M2055" t="s">
        <v>2926</v>
      </c>
      <c r="N2055">
        <v>4</v>
      </c>
    </row>
    <row r="2056" spans="1:14" x14ac:dyDescent="0.25">
      <c r="A2056" s="3" t="str">
        <f>HYPERLINK("http://www.ncbi.nlm.nih.gov/gene/8997","8997")</f>
        <v>8997</v>
      </c>
      <c r="B2056" s="1" t="s">
        <v>4934</v>
      </c>
      <c r="C2056" t="s">
        <v>4935</v>
      </c>
      <c r="D2056">
        <v>135</v>
      </c>
      <c r="E2056">
        <v>141.80000000000001</v>
      </c>
      <c r="F2056">
        <v>99.9</v>
      </c>
      <c r="G2056">
        <v>99.6</v>
      </c>
      <c r="H2056">
        <v>132.80000000000001</v>
      </c>
      <c r="I2056">
        <v>136.19999999999999</v>
      </c>
      <c r="J2056">
        <v>100</v>
      </c>
      <c r="K2056">
        <v>100</v>
      </c>
      <c r="L2056" s="1" t="s">
        <v>4934</v>
      </c>
      <c r="M2056" t="s">
        <v>53</v>
      </c>
      <c r="N2056">
        <v>2</v>
      </c>
    </row>
    <row r="2057" spans="1:14" x14ac:dyDescent="0.25">
      <c r="A2057" s="3" t="str">
        <f>HYPERLINK("http://www.ncbi.nlm.nih.gov/gene/23189","23189")</f>
        <v>23189</v>
      </c>
      <c r="B2057" s="1" t="s">
        <v>4936</v>
      </c>
      <c r="C2057" t="s">
        <v>4937</v>
      </c>
      <c r="D2057">
        <v>150.9</v>
      </c>
      <c r="E2057">
        <v>140.69999999999999</v>
      </c>
      <c r="F2057">
        <v>100</v>
      </c>
      <c r="G2057">
        <v>100</v>
      </c>
      <c r="H2057">
        <v>151.30000000000001</v>
      </c>
      <c r="I2057">
        <v>151.6</v>
      </c>
      <c r="J2057">
        <v>100</v>
      </c>
      <c r="K2057">
        <v>100</v>
      </c>
      <c r="L2057" s="1" t="s">
        <v>4936</v>
      </c>
      <c r="M2057" t="s">
        <v>4938</v>
      </c>
      <c r="N2057">
        <v>3</v>
      </c>
    </row>
    <row r="2058" spans="1:14" x14ac:dyDescent="0.25">
      <c r="A2058" s="3" t="str">
        <f>HYPERLINK("http://www.ncbi.nlm.nih.gov/gene/25959","25959")</f>
        <v>25959</v>
      </c>
      <c r="B2058" s="1" t="s">
        <v>4939</v>
      </c>
      <c r="C2058" t="s">
        <v>4940</v>
      </c>
      <c r="D2058">
        <v>151.5</v>
      </c>
      <c r="E2058">
        <v>154.4</v>
      </c>
      <c r="F2058">
        <v>100</v>
      </c>
      <c r="G2058">
        <v>100</v>
      </c>
      <c r="H2058">
        <v>148</v>
      </c>
      <c r="I2058">
        <v>150.5</v>
      </c>
      <c r="J2058">
        <v>100</v>
      </c>
      <c r="K2058">
        <v>100</v>
      </c>
      <c r="L2058" s="1" t="s">
        <v>4939</v>
      </c>
      <c r="M2058" t="s">
        <v>1956</v>
      </c>
      <c r="N2058">
        <v>4</v>
      </c>
    </row>
    <row r="2059" spans="1:14" x14ac:dyDescent="0.25">
      <c r="A2059" s="3" t="str">
        <f>HYPERLINK("http://www.ncbi.nlm.nih.gov/gene/284058","284058")</f>
        <v>284058</v>
      </c>
      <c r="B2059" s="1" t="s">
        <v>4941</v>
      </c>
      <c r="C2059" t="s">
        <v>4942</v>
      </c>
      <c r="D2059">
        <v>180.7</v>
      </c>
      <c r="E2059">
        <v>179.7</v>
      </c>
      <c r="F2059">
        <v>99.9</v>
      </c>
      <c r="G2059">
        <v>99.2</v>
      </c>
      <c r="H2059">
        <v>256.2</v>
      </c>
      <c r="I2059">
        <v>260.8</v>
      </c>
      <c r="J2059">
        <v>100</v>
      </c>
      <c r="K2059">
        <v>100</v>
      </c>
      <c r="L2059" s="1" t="s">
        <v>4941</v>
      </c>
      <c r="M2059" t="s">
        <v>4943</v>
      </c>
      <c r="N2059">
        <v>4</v>
      </c>
    </row>
    <row r="2060" spans="1:14" x14ac:dyDescent="0.25">
      <c r="A2060" s="3" t="str">
        <f>HYPERLINK("http://www.ncbi.nlm.nih.gov/gene/3735","3735")</f>
        <v>3735</v>
      </c>
      <c r="B2060" s="1" t="s">
        <v>4944</v>
      </c>
      <c r="C2060" t="s">
        <v>4945</v>
      </c>
      <c r="D2060">
        <v>128.1</v>
      </c>
      <c r="E2060">
        <v>133.19999999999999</v>
      </c>
      <c r="F2060">
        <v>100</v>
      </c>
      <c r="G2060">
        <v>99.9</v>
      </c>
      <c r="H2060">
        <v>137.1</v>
      </c>
      <c r="I2060">
        <v>141.1</v>
      </c>
      <c r="J2060">
        <v>100</v>
      </c>
      <c r="K2060">
        <v>100</v>
      </c>
      <c r="L2060" s="1" t="s">
        <v>4944</v>
      </c>
      <c r="M2060" t="s">
        <v>4946</v>
      </c>
      <c r="N2060">
        <v>5</v>
      </c>
    </row>
    <row r="2061" spans="1:14" x14ac:dyDescent="0.25">
      <c r="A2061" s="3" t="str">
        <f>HYPERLINK("http://www.ncbi.nlm.nih.gov/gene/7994","7994")</f>
        <v>7994</v>
      </c>
      <c r="B2061" s="1" t="s">
        <v>4947</v>
      </c>
      <c r="C2061" t="s">
        <v>4948</v>
      </c>
      <c r="D2061">
        <v>172.6</v>
      </c>
      <c r="E2061">
        <v>175.7</v>
      </c>
      <c r="F2061">
        <v>100</v>
      </c>
      <c r="G2061">
        <v>99.8</v>
      </c>
      <c r="H2061">
        <v>156.6</v>
      </c>
      <c r="I2061">
        <v>158.19999999999999</v>
      </c>
      <c r="J2061">
        <v>100</v>
      </c>
      <c r="K2061">
        <v>100</v>
      </c>
      <c r="L2061" s="1" t="s">
        <v>4947</v>
      </c>
      <c r="M2061" t="s">
        <v>2393</v>
      </c>
      <c r="N2061">
        <v>3</v>
      </c>
    </row>
    <row r="2062" spans="1:14" x14ac:dyDescent="0.25">
      <c r="A2062" s="3" t="str">
        <f>HYPERLINK("http://www.ncbi.nlm.nih.gov/gene/23522","23522")</f>
        <v>23522</v>
      </c>
      <c r="B2062" s="1" t="s">
        <v>4949</v>
      </c>
      <c r="C2062" t="s">
        <v>4950</v>
      </c>
      <c r="D2062">
        <v>185.2</v>
      </c>
      <c r="E2062">
        <v>171.3</v>
      </c>
      <c r="F2062">
        <v>99.6</v>
      </c>
      <c r="G2062">
        <v>98.3</v>
      </c>
      <c r="H2062">
        <v>147</v>
      </c>
      <c r="I2062">
        <v>149.30000000000001</v>
      </c>
      <c r="J2062">
        <v>100</v>
      </c>
      <c r="K2062">
        <v>100</v>
      </c>
      <c r="L2062" s="1" t="s">
        <v>4949</v>
      </c>
      <c r="M2062" t="s">
        <v>4951</v>
      </c>
      <c r="N2062">
        <v>6</v>
      </c>
    </row>
    <row r="2063" spans="1:14" x14ac:dyDescent="0.25">
      <c r="A2063" s="3" t="str">
        <f>HYPERLINK("http://www.ncbi.nlm.nih.gov/gene/84148","84148")</f>
        <v>84148</v>
      </c>
      <c r="B2063" s="1" t="s">
        <v>4952</v>
      </c>
      <c r="C2063" t="s">
        <v>4953</v>
      </c>
      <c r="D2063">
        <v>114.1</v>
      </c>
      <c r="E2063">
        <v>118.4</v>
      </c>
      <c r="F2063">
        <v>99.9</v>
      </c>
      <c r="G2063">
        <v>98.8</v>
      </c>
      <c r="H2063">
        <v>129.4</v>
      </c>
      <c r="I2063">
        <v>132.1</v>
      </c>
      <c r="J2063">
        <v>100</v>
      </c>
      <c r="K2063">
        <v>100</v>
      </c>
      <c r="L2063" s="1" t="s">
        <v>4952</v>
      </c>
      <c r="M2063" t="s">
        <v>189</v>
      </c>
      <c r="N2063">
        <v>2</v>
      </c>
    </row>
    <row r="2064" spans="1:14" x14ac:dyDescent="0.25">
      <c r="A2064" s="3" t="str">
        <f>HYPERLINK("http://www.ncbi.nlm.nih.gov/gene/10300","10300")</f>
        <v>10300</v>
      </c>
      <c r="B2064" s="1" t="s">
        <v>4954</v>
      </c>
      <c r="C2064" t="s">
        <v>4955</v>
      </c>
      <c r="D2064">
        <v>133</v>
      </c>
      <c r="E2064">
        <v>136.6</v>
      </c>
      <c r="F2064">
        <v>100</v>
      </c>
      <c r="G2064">
        <v>99.9</v>
      </c>
      <c r="H2064">
        <v>132.4</v>
      </c>
      <c r="I2064">
        <v>134.9</v>
      </c>
      <c r="J2064">
        <v>100</v>
      </c>
      <c r="K2064">
        <v>100</v>
      </c>
      <c r="L2064" s="1" t="s">
        <v>4954</v>
      </c>
      <c r="M2064" t="s">
        <v>548</v>
      </c>
      <c r="N2064">
        <v>5</v>
      </c>
    </row>
    <row r="2065" spans="1:14" x14ac:dyDescent="0.25">
      <c r="A2065" s="3" t="str">
        <f>HYPERLINK("http://www.ncbi.nlm.nih.gov/gene/23247","23247")</f>
        <v>23247</v>
      </c>
      <c r="B2065" s="1" t="s">
        <v>4956</v>
      </c>
      <c r="C2065" t="s">
        <v>4957</v>
      </c>
      <c r="D2065">
        <v>139.9</v>
      </c>
      <c r="E2065">
        <v>142.80000000000001</v>
      </c>
      <c r="F2065">
        <v>100</v>
      </c>
      <c r="G2065">
        <v>99.9</v>
      </c>
      <c r="H2065">
        <v>142.4</v>
      </c>
      <c r="I2065">
        <v>146.4</v>
      </c>
      <c r="J2065">
        <v>100</v>
      </c>
      <c r="K2065">
        <v>100</v>
      </c>
      <c r="L2065" s="1" t="s">
        <v>4958</v>
      </c>
      <c r="M2065" t="s">
        <v>4959</v>
      </c>
      <c r="N2065">
        <v>4</v>
      </c>
    </row>
    <row r="2066" spans="1:14" x14ac:dyDescent="0.25">
      <c r="A2066" s="3" t="str">
        <f>HYPERLINK("http://www.ncbi.nlm.nih.gov/gene/390594","390594")</f>
        <v>390594</v>
      </c>
      <c r="B2066" s="1" t="s">
        <v>4960</v>
      </c>
      <c r="C2066" t="s">
        <v>4961</v>
      </c>
      <c r="D2066">
        <v>115.3</v>
      </c>
      <c r="E2066">
        <v>102.9</v>
      </c>
      <c r="F2066">
        <v>99.8</v>
      </c>
      <c r="G2066">
        <v>95.8</v>
      </c>
      <c r="H2066">
        <v>148.4</v>
      </c>
      <c r="I2066">
        <v>142.19999999999999</v>
      </c>
      <c r="J2066">
        <v>100</v>
      </c>
      <c r="K2066">
        <v>100</v>
      </c>
      <c r="L2066" s="1" t="s">
        <v>4960</v>
      </c>
      <c r="M2066" t="s">
        <v>4962</v>
      </c>
      <c r="N2066">
        <v>3</v>
      </c>
    </row>
    <row r="2067" spans="1:14" x14ac:dyDescent="0.25">
      <c r="A2067" s="3" t="str">
        <f>HYPERLINK("http://www.ncbi.nlm.nih.gov/gene/3736","3736")</f>
        <v>3736</v>
      </c>
      <c r="B2067" s="1" t="s">
        <v>4963</v>
      </c>
      <c r="C2067" t="s">
        <v>4964</v>
      </c>
      <c r="D2067">
        <v>166.5</v>
      </c>
      <c r="E2067">
        <v>166.8</v>
      </c>
      <c r="F2067">
        <v>100</v>
      </c>
      <c r="G2067">
        <v>99.9</v>
      </c>
      <c r="H2067">
        <v>186</v>
      </c>
      <c r="I2067">
        <v>187.8</v>
      </c>
      <c r="J2067">
        <v>100</v>
      </c>
      <c r="K2067">
        <v>100</v>
      </c>
      <c r="L2067" s="1" t="s">
        <v>4963</v>
      </c>
      <c r="M2067" t="s">
        <v>1374</v>
      </c>
      <c r="N2067">
        <v>3</v>
      </c>
    </row>
    <row r="2068" spans="1:14" x14ac:dyDescent="0.25">
      <c r="A2068" s="3" t="str">
        <f>HYPERLINK("http://www.ncbi.nlm.nih.gov/gene/3737","3737")</f>
        <v>3737</v>
      </c>
      <c r="B2068" s="1" t="s">
        <v>4965</v>
      </c>
      <c r="C2068" t="s">
        <v>4966</v>
      </c>
      <c r="D2068">
        <v>162.9</v>
      </c>
      <c r="E2068">
        <v>160.9</v>
      </c>
      <c r="F2068">
        <v>100</v>
      </c>
      <c r="G2068">
        <v>99.6</v>
      </c>
      <c r="H2068">
        <v>179.1</v>
      </c>
      <c r="I2068">
        <v>179.8</v>
      </c>
      <c r="J2068">
        <v>100</v>
      </c>
      <c r="K2068">
        <v>100</v>
      </c>
      <c r="L2068" s="1" t="s">
        <v>4965</v>
      </c>
      <c r="M2068" t="s">
        <v>4967</v>
      </c>
      <c r="N2068">
        <v>5</v>
      </c>
    </row>
    <row r="2069" spans="1:14" x14ac:dyDescent="0.25">
      <c r="A2069" s="3" t="str">
        <f>HYPERLINK("http://www.ncbi.nlm.nih.gov/gene/3739","3739")</f>
        <v>3739</v>
      </c>
      <c r="B2069" s="1" t="s">
        <v>4968</v>
      </c>
      <c r="C2069" t="s">
        <v>4969</v>
      </c>
      <c r="D2069">
        <v>165.2</v>
      </c>
      <c r="E2069">
        <v>148.6</v>
      </c>
      <c r="F2069">
        <v>100</v>
      </c>
      <c r="G2069">
        <v>100</v>
      </c>
      <c r="H2069">
        <v>169.6</v>
      </c>
      <c r="I2069">
        <v>170.3</v>
      </c>
      <c r="J2069">
        <v>100</v>
      </c>
      <c r="K2069">
        <v>100</v>
      </c>
      <c r="L2069" s="1" t="s">
        <v>4968</v>
      </c>
      <c r="M2069" t="s">
        <v>50</v>
      </c>
      <c r="N2069">
        <v>2</v>
      </c>
    </row>
    <row r="2070" spans="1:14" x14ac:dyDescent="0.25">
      <c r="A2070" s="3" t="str">
        <f>HYPERLINK("http://www.ncbi.nlm.nih.gov/gene/3741","3741")</f>
        <v>3741</v>
      </c>
      <c r="B2070" s="1" t="s">
        <v>4970</v>
      </c>
      <c r="C2070" t="s">
        <v>4971</v>
      </c>
      <c r="D2070">
        <v>157.9</v>
      </c>
      <c r="E2070">
        <v>150.1</v>
      </c>
      <c r="F2070">
        <v>100</v>
      </c>
      <c r="G2070">
        <v>98.5</v>
      </c>
      <c r="H2070">
        <v>203.6</v>
      </c>
      <c r="I2070">
        <v>203.8</v>
      </c>
      <c r="J2070">
        <v>100</v>
      </c>
      <c r="K2070">
        <v>100</v>
      </c>
      <c r="L2070" s="1" t="s">
        <v>4970</v>
      </c>
      <c r="M2070" t="s">
        <v>197</v>
      </c>
      <c r="N2070">
        <v>2</v>
      </c>
    </row>
    <row r="2071" spans="1:14" x14ac:dyDescent="0.25">
      <c r="A2071" s="3" t="str">
        <f>HYPERLINK("http://www.ncbi.nlm.nih.gov/gene/3745","3745")</f>
        <v>3745</v>
      </c>
      <c r="B2071" s="1" t="s">
        <v>4972</v>
      </c>
      <c r="C2071" t="s">
        <v>4973</v>
      </c>
      <c r="D2071">
        <v>168.6</v>
      </c>
      <c r="E2071">
        <v>157</v>
      </c>
      <c r="F2071">
        <v>100</v>
      </c>
      <c r="G2071">
        <v>99.6</v>
      </c>
      <c r="H2071">
        <v>160</v>
      </c>
      <c r="I2071">
        <v>159.1</v>
      </c>
      <c r="J2071">
        <v>100</v>
      </c>
      <c r="K2071">
        <v>100</v>
      </c>
      <c r="L2071" s="1" t="s">
        <v>4972</v>
      </c>
      <c r="M2071" t="s">
        <v>995</v>
      </c>
      <c r="N2071">
        <v>3</v>
      </c>
    </row>
    <row r="2072" spans="1:14" x14ac:dyDescent="0.25">
      <c r="A2072" s="3" t="str">
        <f>HYPERLINK("http://www.ncbi.nlm.nih.gov/gene/3746","3746")</f>
        <v>3746</v>
      </c>
      <c r="B2072" s="1" t="s">
        <v>4974</v>
      </c>
      <c r="C2072" t="s">
        <v>4975</v>
      </c>
      <c r="D2072">
        <v>161.80000000000001</v>
      </c>
      <c r="E2072">
        <v>157.1</v>
      </c>
      <c r="F2072">
        <v>100</v>
      </c>
      <c r="G2072">
        <v>100</v>
      </c>
      <c r="H2072">
        <v>180.3</v>
      </c>
      <c r="I2072">
        <v>183.3</v>
      </c>
      <c r="J2072">
        <v>100</v>
      </c>
      <c r="K2072">
        <v>100</v>
      </c>
      <c r="L2072" s="1" t="s">
        <v>4974</v>
      </c>
      <c r="M2072" t="s">
        <v>877</v>
      </c>
      <c r="N2072">
        <v>4</v>
      </c>
    </row>
    <row r="2073" spans="1:14" x14ac:dyDescent="0.25">
      <c r="A2073" s="3" t="str">
        <f>HYPERLINK("http://www.ncbi.nlm.nih.gov/gene/3748","3748")</f>
        <v>3748</v>
      </c>
      <c r="B2073" s="1" t="s">
        <v>4976</v>
      </c>
      <c r="C2073" t="s">
        <v>4977</v>
      </c>
      <c r="D2073">
        <v>108.1</v>
      </c>
      <c r="E2073">
        <v>113.4</v>
      </c>
      <c r="F2073">
        <v>78.599999999999994</v>
      </c>
      <c r="G2073">
        <v>65.8</v>
      </c>
      <c r="H2073">
        <v>130.6</v>
      </c>
      <c r="I2073">
        <v>123.9</v>
      </c>
      <c r="J2073">
        <v>95</v>
      </c>
      <c r="K2073">
        <v>89.7</v>
      </c>
      <c r="L2073" s="1" t="s">
        <v>4976</v>
      </c>
      <c r="M2073" t="s">
        <v>1357</v>
      </c>
      <c r="N2073">
        <v>3</v>
      </c>
    </row>
    <row r="2074" spans="1:14" x14ac:dyDescent="0.25">
      <c r="A2074" s="3" t="str">
        <f>HYPERLINK("http://www.ncbi.nlm.nih.gov/gene/3751","3751")</f>
        <v>3751</v>
      </c>
      <c r="B2074" s="1" t="s">
        <v>4978</v>
      </c>
      <c r="C2074" t="s">
        <v>4979</v>
      </c>
      <c r="D2074">
        <v>183.3</v>
      </c>
      <c r="E2074">
        <v>190.4</v>
      </c>
      <c r="F2074">
        <v>100</v>
      </c>
      <c r="G2074">
        <v>100</v>
      </c>
      <c r="H2074">
        <v>145.9</v>
      </c>
      <c r="I2074">
        <v>146.6</v>
      </c>
      <c r="J2074">
        <v>100</v>
      </c>
      <c r="K2074">
        <v>100</v>
      </c>
      <c r="L2074" s="1" t="s">
        <v>4978</v>
      </c>
      <c r="M2074" t="s">
        <v>197</v>
      </c>
      <c r="N2074">
        <v>2</v>
      </c>
    </row>
    <row r="2075" spans="1:14" x14ac:dyDescent="0.25">
      <c r="A2075" s="3" t="str">
        <f>HYPERLINK("http://www.ncbi.nlm.nih.gov/gene/3752","3752")</f>
        <v>3752</v>
      </c>
      <c r="B2075" s="1" t="s">
        <v>4980</v>
      </c>
      <c r="C2075" t="s">
        <v>4981</v>
      </c>
      <c r="D2075">
        <v>188</v>
      </c>
      <c r="E2075">
        <v>170.8</v>
      </c>
      <c r="F2075">
        <v>100</v>
      </c>
      <c r="G2075">
        <v>99.4</v>
      </c>
      <c r="H2075">
        <v>154.5</v>
      </c>
      <c r="I2075">
        <v>158.69999999999999</v>
      </c>
      <c r="J2075">
        <v>100</v>
      </c>
      <c r="K2075">
        <v>100</v>
      </c>
      <c r="L2075" s="1" t="s">
        <v>4980</v>
      </c>
      <c r="M2075" t="s">
        <v>4982</v>
      </c>
      <c r="N2075">
        <v>3</v>
      </c>
    </row>
    <row r="2076" spans="1:14" x14ac:dyDescent="0.25">
      <c r="A2076" s="3" t="str">
        <f>HYPERLINK("http://www.ncbi.nlm.nih.gov/gene/3753","3753")</f>
        <v>3753</v>
      </c>
      <c r="B2076" s="1" t="s">
        <v>4983</v>
      </c>
      <c r="C2076" t="s">
        <v>4984</v>
      </c>
      <c r="D2076">
        <v>402.2</v>
      </c>
      <c r="E2076">
        <v>438.4</v>
      </c>
      <c r="F2076">
        <v>100</v>
      </c>
      <c r="G2076">
        <v>100</v>
      </c>
      <c r="H2076">
        <v>273.60000000000002</v>
      </c>
      <c r="I2076">
        <v>275.10000000000002</v>
      </c>
      <c r="J2076">
        <v>100</v>
      </c>
      <c r="K2076">
        <v>100</v>
      </c>
      <c r="L2076" s="1" t="s">
        <v>4983</v>
      </c>
      <c r="M2076" t="s">
        <v>4985</v>
      </c>
      <c r="N2076">
        <v>4</v>
      </c>
    </row>
    <row r="2077" spans="1:14" x14ac:dyDescent="0.25">
      <c r="A2077" s="3" t="str">
        <f>HYPERLINK("http://www.ncbi.nlm.nih.gov/gene/9992","9992")</f>
        <v>9992</v>
      </c>
      <c r="B2077" s="1" t="s">
        <v>4986</v>
      </c>
      <c r="C2077" t="s">
        <v>4987</v>
      </c>
      <c r="D2077">
        <v>155.30000000000001</v>
      </c>
      <c r="E2077">
        <v>165.4</v>
      </c>
      <c r="F2077">
        <v>100</v>
      </c>
      <c r="G2077">
        <v>97.2</v>
      </c>
      <c r="H2077">
        <v>168.6</v>
      </c>
      <c r="I2077">
        <v>168.3</v>
      </c>
      <c r="J2077">
        <v>100</v>
      </c>
      <c r="K2077">
        <v>100</v>
      </c>
      <c r="L2077" s="1" t="s">
        <v>4986</v>
      </c>
      <c r="M2077" t="s">
        <v>197</v>
      </c>
      <c r="N2077">
        <v>2</v>
      </c>
    </row>
    <row r="2078" spans="1:14" x14ac:dyDescent="0.25">
      <c r="A2078" s="3" t="str">
        <f>HYPERLINK("http://www.ncbi.nlm.nih.gov/gene/10008","10008")</f>
        <v>10008</v>
      </c>
      <c r="B2078" s="1" t="s">
        <v>4988</v>
      </c>
      <c r="C2078" t="s">
        <v>4989</v>
      </c>
      <c r="D2078">
        <v>155.19999999999999</v>
      </c>
      <c r="E2078">
        <v>166.8</v>
      </c>
      <c r="F2078">
        <v>100</v>
      </c>
      <c r="G2078">
        <v>100</v>
      </c>
      <c r="H2078">
        <v>145</v>
      </c>
      <c r="I2078">
        <v>147</v>
      </c>
      <c r="J2078">
        <v>100</v>
      </c>
      <c r="K2078">
        <v>100</v>
      </c>
      <c r="L2078" s="1" t="s">
        <v>4988</v>
      </c>
      <c r="M2078" t="s">
        <v>1371</v>
      </c>
      <c r="N2078">
        <v>2</v>
      </c>
    </row>
    <row r="2079" spans="1:14" x14ac:dyDescent="0.25">
      <c r="A2079" s="3" t="str">
        <f>HYPERLINK("http://www.ncbi.nlm.nih.gov/gene/23704","23704")</f>
        <v>23704</v>
      </c>
      <c r="B2079" s="1" t="s">
        <v>4990</v>
      </c>
      <c r="C2079" t="s">
        <v>4991</v>
      </c>
      <c r="D2079">
        <v>125.8</v>
      </c>
      <c r="E2079">
        <v>124.1</v>
      </c>
      <c r="F2079">
        <v>80.5</v>
      </c>
      <c r="G2079">
        <v>80.400000000000006</v>
      </c>
      <c r="H2079">
        <v>132.80000000000001</v>
      </c>
      <c r="I2079">
        <v>141.80000000000001</v>
      </c>
      <c r="J2079">
        <v>100</v>
      </c>
      <c r="K2079">
        <v>100</v>
      </c>
      <c r="L2079" s="1" t="s">
        <v>4990</v>
      </c>
      <c r="M2079" t="s">
        <v>197</v>
      </c>
      <c r="N2079">
        <v>2</v>
      </c>
    </row>
    <row r="2080" spans="1:14" x14ac:dyDescent="0.25">
      <c r="A2080" s="3" t="str">
        <f>HYPERLINK("http://www.ncbi.nlm.nih.gov/gene/23630","23630")</f>
        <v>23630</v>
      </c>
      <c r="B2080" s="1" t="s">
        <v>4992</v>
      </c>
      <c r="C2080" t="s">
        <v>4993</v>
      </c>
      <c r="D2080">
        <v>108.5</v>
      </c>
      <c r="E2080">
        <v>103.6</v>
      </c>
      <c r="F2080">
        <v>98.6</v>
      </c>
      <c r="G2080">
        <v>91.8</v>
      </c>
      <c r="H2080">
        <v>128.1</v>
      </c>
      <c r="I2080">
        <v>133.4</v>
      </c>
      <c r="J2080">
        <v>100</v>
      </c>
      <c r="K2080">
        <v>100</v>
      </c>
      <c r="L2080" s="1" t="s">
        <v>4992</v>
      </c>
      <c r="M2080" t="s">
        <v>4994</v>
      </c>
      <c r="N2080">
        <v>2</v>
      </c>
    </row>
    <row r="2081" spans="1:14" x14ac:dyDescent="0.25">
      <c r="A2081" s="3" t="str">
        <f>HYPERLINK("http://www.ncbi.nlm.nih.gov/gene/3756","3756")</f>
        <v>3756</v>
      </c>
      <c r="B2081" s="1" t="s">
        <v>4995</v>
      </c>
      <c r="C2081" t="s">
        <v>4996</v>
      </c>
      <c r="D2081">
        <v>176.6</v>
      </c>
      <c r="E2081">
        <v>173.4</v>
      </c>
      <c r="F2081">
        <v>98.7</v>
      </c>
      <c r="G2081">
        <v>98.7</v>
      </c>
      <c r="H2081">
        <v>156.9</v>
      </c>
      <c r="I2081">
        <v>163.6</v>
      </c>
      <c r="J2081">
        <v>98.7</v>
      </c>
      <c r="K2081">
        <v>98.7</v>
      </c>
      <c r="L2081" s="1" t="s">
        <v>4995</v>
      </c>
      <c r="M2081" t="s">
        <v>827</v>
      </c>
      <c r="N2081">
        <v>4</v>
      </c>
    </row>
    <row r="2082" spans="1:14" x14ac:dyDescent="0.25">
      <c r="A2082" s="3" t="str">
        <f>HYPERLINK("http://www.ncbi.nlm.nih.gov/gene/3757","3757")</f>
        <v>3757</v>
      </c>
      <c r="B2082" s="1" t="s">
        <v>4997</v>
      </c>
      <c r="C2082" t="s">
        <v>4998</v>
      </c>
      <c r="D2082">
        <v>107.6</v>
      </c>
      <c r="E2082">
        <v>109.5</v>
      </c>
      <c r="F2082">
        <v>95.8</v>
      </c>
      <c r="G2082">
        <v>91.9</v>
      </c>
      <c r="H2082">
        <v>149.80000000000001</v>
      </c>
      <c r="I2082">
        <v>154.5</v>
      </c>
      <c r="J2082">
        <v>100</v>
      </c>
      <c r="K2082">
        <v>100</v>
      </c>
      <c r="L2082" s="1" t="s">
        <v>4997</v>
      </c>
      <c r="M2082" t="s">
        <v>197</v>
      </c>
      <c r="N2082">
        <v>2</v>
      </c>
    </row>
    <row r="2083" spans="1:14" x14ac:dyDescent="0.25">
      <c r="A2083" s="3" t="str">
        <f>HYPERLINK("http://www.ncbi.nlm.nih.gov/gene/3758","3758")</f>
        <v>3758</v>
      </c>
      <c r="B2083" s="1" t="s">
        <v>4999</v>
      </c>
      <c r="C2083" t="s">
        <v>5000</v>
      </c>
      <c r="D2083">
        <v>208.5</v>
      </c>
      <c r="E2083">
        <v>175.9</v>
      </c>
      <c r="F2083">
        <v>100</v>
      </c>
      <c r="G2083">
        <v>100</v>
      </c>
      <c r="H2083">
        <v>166.4</v>
      </c>
      <c r="I2083">
        <v>165.2</v>
      </c>
      <c r="J2083">
        <v>100</v>
      </c>
      <c r="K2083">
        <v>100</v>
      </c>
      <c r="L2083" s="1" t="s">
        <v>4999</v>
      </c>
      <c r="M2083" t="s">
        <v>357</v>
      </c>
      <c r="N2083">
        <v>3</v>
      </c>
    </row>
    <row r="2084" spans="1:14" x14ac:dyDescent="0.25">
      <c r="A2084" s="3" t="str">
        <f>HYPERLINK("http://www.ncbi.nlm.nih.gov/gene/3766","3766")</f>
        <v>3766</v>
      </c>
      <c r="B2084" s="1" t="s">
        <v>5001</v>
      </c>
      <c r="C2084" t="s">
        <v>5002</v>
      </c>
      <c r="D2084">
        <v>153.5</v>
      </c>
      <c r="E2084">
        <v>157.5</v>
      </c>
      <c r="F2084">
        <v>89.3</v>
      </c>
      <c r="G2084">
        <v>89</v>
      </c>
      <c r="H2084">
        <v>150.30000000000001</v>
      </c>
      <c r="I2084">
        <v>152.30000000000001</v>
      </c>
      <c r="J2084">
        <v>100</v>
      </c>
      <c r="K2084">
        <v>100</v>
      </c>
      <c r="L2084" s="1" t="s">
        <v>5001</v>
      </c>
      <c r="M2084" t="s">
        <v>5003</v>
      </c>
      <c r="N2084">
        <v>7</v>
      </c>
    </row>
    <row r="2085" spans="1:14" x14ac:dyDescent="0.25">
      <c r="A2085" s="3" t="str">
        <f>HYPERLINK("http://www.ncbi.nlm.nih.gov/gene/3767","3767")</f>
        <v>3767</v>
      </c>
      <c r="B2085" s="1" t="s">
        <v>5004</v>
      </c>
      <c r="C2085" t="s">
        <v>5005</v>
      </c>
      <c r="D2085">
        <v>182.6</v>
      </c>
      <c r="E2085">
        <v>177.3</v>
      </c>
      <c r="F2085">
        <v>100</v>
      </c>
      <c r="G2085">
        <v>100</v>
      </c>
      <c r="H2085">
        <v>161.9</v>
      </c>
      <c r="I2085">
        <v>161.5</v>
      </c>
      <c r="J2085">
        <v>100</v>
      </c>
      <c r="K2085">
        <v>100</v>
      </c>
      <c r="L2085" s="1" t="s">
        <v>5004</v>
      </c>
      <c r="M2085" t="s">
        <v>5006</v>
      </c>
      <c r="N2085">
        <v>6</v>
      </c>
    </row>
    <row r="2086" spans="1:14" x14ac:dyDescent="0.25">
      <c r="A2086" s="3" t="str">
        <f>HYPERLINK("http://www.ncbi.nlm.nih.gov/gene/3769","3769")</f>
        <v>3769</v>
      </c>
      <c r="B2086" s="1" t="s">
        <v>5007</v>
      </c>
      <c r="C2086" t="s">
        <v>5008</v>
      </c>
      <c r="D2086">
        <v>169.2</v>
      </c>
      <c r="E2086">
        <v>155</v>
      </c>
      <c r="F2086">
        <v>100</v>
      </c>
      <c r="G2086">
        <v>100</v>
      </c>
      <c r="H2086">
        <v>131.80000000000001</v>
      </c>
      <c r="I2086">
        <v>132</v>
      </c>
      <c r="J2086">
        <v>100</v>
      </c>
      <c r="K2086">
        <v>100</v>
      </c>
      <c r="L2086" s="1" t="s">
        <v>5007</v>
      </c>
      <c r="M2086" t="s">
        <v>4256</v>
      </c>
      <c r="N2086">
        <v>3</v>
      </c>
    </row>
    <row r="2087" spans="1:14" x14ac:dyDescent="0.25">
      <c r="A2087" s="3" t="str">
        <f>HYPERLINK("http://www.ncbi.nlm.nih.gov/gene/3759","3759")</f>
        <v>3759</v>
      </c>
      <c r="B2087" s="1" t="s">
        <v>5009</v>
      </c>
      <c r="C2087" t="s">
        <v>5010</v>
      </c>
      <c r="D2087">
        <v>184.7</v>
      </c>
      <c r="E2087">
        <v>183.9</v>
      </c>
      <c r="F2087">
        <v>100</v>
      </c>
      <c r="G2087">
        <v>100</v>
      </c>
      <c r="H2087">
        <v>168.1</v>
      </c>
      <c r="I2087">
        <v>165.7</v>
      </c>
      <c r="J2087">
        <v>100</v>
      </c>
      <c r="K2087">
        <v>100</v>
      </c>
      <c r="L2087" s="1" t="s">
        <v>5009</v>
      </c>
      <c r="M2087" t="s">
        <v>5011</v>
      </c>
      <c r="N2087">
        <v>5</v>
      </c>
    </row>
    <row r="2088" spans="1:14" x14ac:dyDescent="0.25">
      <c r="A2088" s="3" t="str">
        <f>HYPERLINK("http://www.ncbi.nlm.nih.gov/gene/3762","3762")</f>
        <v>3762</v>
      </c>
      <c r="B2088" s="1" t="s">
        <v>5012</v>
      </c>
      <c r="C2088" t="s">
        <v>5013</v>
      </c>
      <c r="D2088">
        <v>181.9</v>
      </c>
      <c r="E2088">
        <v>182.6</v>
      </c>
      <c r="F2088">
        <v>100</v>
      </c>
      <c r="G2088">
        <v>100</v>
      </c>
      <c r="H2088">
        <v>154.80000000000001</v>
      </c>
      <c r="I2088">
        <v>156.5</v>
      </c>
      <c r="J2088">
        <v>100</v>
      </c>
      <c r="K2088">
        <v>100</v>
      </c>
      <c r="L2088" s="1" t="s">
        <v>5012</v>
      </c>
      <c r="M2088" t="s">
        <v>5014</v>
      </c>
      <c r="N2088">
        <v>3</v>
      </c>
    </row>
    <row r="2089" spans="1:14" x14ac:dyDescent="0.25">
      <c r="A2089" s="3" t="str">
        <f>HYPERLINK("http://www.ncbi.nlm.nih.gov/gene/3763","3763")</f>
        <v>3763</v>
      </c>
      <c r="B2089" s="1" t="s">
        <v>5015</v>
      </c>
      <c r="C2089" t="s">
        <v>5016</v>
      </c>
      <c r="D2089">
        <v>187.1</v>
      </c>
      <c r="E2089">
        <v>191.5</v>
      </c>
      <c r="F2089">
        <v>100</v>
      </c>
      <c r="G2089">
        <v>100</v>
      </c>
      <c r="H2089">
        <v>169.7</v>
      </c>
      <c r="I2089">
        <v>169.4</v>
      </c>
      <c r="J2089">
        <v>100</v>
      </c>
      <c r="K2089">
        <v>100</v>
      </c>
      <c r="L2089" s="1" t="s">
        <v>5015</v>
      </c>
      <c r="M2089" t="s">
        <v>1357</v>
      </c>
      <c r="N2089">
        <v>3</v>
      </c>
    </row>
    <row r="2090" spans="1:14" x14ac:dyDescent="0.25">
      <c r="A2090" s="3" t="str">
        <f>HYPERLINK("http://www.ncbi.nlm.nih.gov/gene/3764","3764")</f>
        <v>3764</v>
      </c>
      <c r="B2090" s="1" t="s">
        <v>5017</v>
      </c>
      <c r="C2090" t="s">
        <v>5018</v>
      </c>
      <c r="D2090">
        <v>149.4</v>
      </c>
      <c r="E2090">
        <v>139.1</v>
      </c>
      <c r="F2090">
        <v>100</v>
      </c>
      <c r="G2090">
        <v>100</v>
      </c>
      <c r="H2090">
        <v>142.4</v>
      </c>
      <c r="I2090">
        <v>143.6</v>
      </c>
      <c r="J2090">
        <v>100</v>
      </c>
      <c r="K2090">
        <v>100</v>
      </c>
      <c r="L2090" s="1" t="s">
        <v>5017</v>
      </c>
      <c r="M2090" t="s">
        <v>197</v>
      </c>
      <c r="N2090">
        <v>2</v>
      </c>
    </row>
    <row r="2091" spans="1:14" x14ac:dyDescent="0.25">
      <c r="A2091" s="3" t="str">
        <f>HYPERLINK("http://www.ncbi.nlm.nih.gov/gene/3777","3777")</f>
        <v>3777</v>
      </c>
      <c r="B2091" s="1" t="s">
        <v>5019</v>
      </c>
      <c r="C2091" t="s">
        <v>5020</v>
      </c>
      <c r="D2091">
        <v>131.5</v>
      </c>
      <c r="E2091">
        <v>126</v>
      </c>
      <c r="F2091">
        <v>97.5</v>
      </c>
      <c r="G2091">
        <v>95</v>
      </c>
      <c r="H2091">
        <v>163.69999999999999</v>
      </c>
      <c r="I2091">
        <v>165.6</v>
      </c>
      <c r="J2091">
        <v>100</v>
      </c>
      <c r="K2091">
        <v>100</v>
      </c>
      <c r="L2091" s="1" t="s">
        <v>5019</v>
      </c>
      <c r="M2091" t="s">
        <v>197</v>
      </c>
      <c r="N2091">
        <v>2</v>
      </c>
    </row>
    <row r="2092" spans="1:14" x14ac:dyDescent="0.25">
      <c r="A2092" s="3" t="str">
        <f>HYPERLINK("http://www.ncbi.nlm.nih.gov/gene/50801","50801")</f>
        <v>50801</v>
      </c>
      <c r="B2092" s="1" t="s">
        <v>5021</v>
      </c>
      <c r="C2092" t="s">
        <v>5022</v>
      </c>
      <c r="D2092">
        <v>179</v>
      </c>
      <c r="E2092">
        <v>182.7</v>
      </c>
      <c r="F2092">
        <v>99.1</v>
      </c>
      <c r="G2092">
        <v>97.4</v>
      </c>
      <c r="H2092">
        <v>137.1</v>
      </c>
      <c r="I2092">
        <v>139.5</v>
      </c>
      <c r="J2092">
        <v>100</v>
      </c>
      <c r="K2092">
        <v>100</v>
      </c>
      <c r="L2092" s="1" t="s">
        <v>5021</v>
      </c>
      <c r="M2092" t="s">
        <v>189</v>
      </c>
      <c r="N2092">
        <v>2</v>
      </c>
    </row>
    <row r="2093" spans="1:14" x14ac:dyDescent="0.25">
      <c r="A2093" s="3" t="str">
        <f>HYPERLINK("http://www.ncbi.nlm.nih.gov/gene/51305","51305")</f>
        <v>51305</v>
      </c>
      <c r="B2093" s="1" t="s">
        <v>5023</v>
      </c>
      <c r="C2093" t="s">
        <v>5024</v>
      </c>
      <c r="D2093">
        <v>162</v>
      </c>
      <c r="E2093">
        <v>153.1</v>
      </c>
      <c r="F2093">
        <v>97.3</v>
      </c>
      <c r="G2093">
        <v>97.3</v>
      </c>
      <c r="H2093">
        <v>148.30000000000001</v>
      </c>
      <c r="I2093">
        <v>151.1</v>
      </c>
      <c r="J2093">
        <v>97.3</v>
      </c>
      <c r="K2093">
        <v>97.3</v>
      </c>
      <c r="L2093" s="1" t="s">
        <v>5023</v>
      </c>
      <c r="M2093" t="s">
        <v>5025</v>
      </c>
      <c r="N2093">
        <v>4</v>
      </c>
    </row>
    <row r="2094" spans="1:14" x14ac:dyDescent="0.25">
      <c r="A2094" s="3" t="str">
        <f>HYPERLINK("http://www.ncbi.nlm.nih.gov/gene/3778","3778")</f>
        <v>3778</v>
      </c>
      <c r="B2094" s="1" t="s">
        <v>5026</v>
      </c>
      <c r="C2094" t="s">
        <v>5027</v>
      </c>
      <c r="D2094">
        <v>117.2</v>
      </c>
      <c r="E2094">
        <v>122.3</v>
      </c>
      <c r="F2094">
        <v>94.4</v>
      </c>
      <c r="G2094">
        <v>93.6</v>
      </c>
      <c r="H2094">
        <v>138.4</v>
      </c>
      <c r="I2094">
        <v>141.69999999999999</v>
      </c>
      <c r="J2094">
        <v>100</v>
      </c>
      <c r="K2094">
        <v>100</v>
      </c>
      <c r="L2094" s="1" t="s">
        <v>5026</v>
      </c>
      <c r="M2094" t="s">
        <v>5028</v>
      </c>
      <c r="N2094">
        <v>5</v>
      </c>
    </row>
    <row r="2095" spans="1:14" x14ac:dyDescent="0.25">
      <c r="A2095" s="3" t="str">
        <f>HYPERLINK("http://www.ncbi.nlm.nih.gov/gene/3782","3782")</f>
        <v>3782</v>
      </c>
      <c r="B2095" s="1" t="s">
        <v>5029</v>
      </c>
      <c r="C2095" t="s">
        <v>5030</v>
      </c>
      <c r="D2095">
        <v>140.4</v>
      </c>
      <c r="E2095">
        <v>127.8</v>
      </c>
      <c r="F2095">
        <v>100</v>
      </c>
      <c r="G2095">
        <v>99.7</v>
      </c>
      <c r="H2095">
        <v>155</v>
      </c>
      <c r="I2095">
        <v>151.9</v>
      </c>
      <c r="J2095">
        <v>100</v>
      </c>
      <c r="K2095">
        <v>100</v>
      </c>
      <c r="L2095" s="1" t="s">
        <v>5029</v>
      </c>
      <c r="M2095" t="s">
        <v>197</v>
      </c>
      <c r="N2095">
        <v>2</v>
      </c>
    </row>
    <row r="2096" spans="1:14" x14ac:dyDescent="0.25">
      <c r="A2096" s="3" t="str">
        <f>HYPERLINK("http://www.ncbi.nlm.nih.gov/gene/3783","3783")</f>
        <v>3783</v>
      </c>
      <c r="B2096" s="1" t="s">
        <v>5031</v>
      </c>
      <c r="C2096" t="s">
        <v>5032</v>
      </c>
      <c r="D2096">
        <v>150.30000000000001</v>
      </c>
      <c r="E2096">
        <v>152.80000000000001</v>
      </c>
      <c r="F2096">
        <v>100</v>
      </c>
      <c r="G2096">
        <v>99.4</v>
      </c>
      <c r="H2096">
        <v>131.30000000000001</v>
      </c>
      <c r="I2096">
        <v>133.6</v>
      </c>
      <c r="J2096">
        <v>100</v>
      </c>
      <c r="K2096">
        <v>100</v>
      </c>
      <c r="L2096" s="1" t="s">
        <v>5031</v>
      </c>
      <c r="M2096" t="s">
        <v>285</v>
      </c>
      <c r="N2096">
        <v>1</v>
      </c>
    </row>
    <row r="2097" spans="1:14" x14ac:dyDescent="0.25">
      <c r="A2097" s="3" t="str">
        <f>HYPERLINK("http://www.ncbi.nlm.nih.gov/gene/3784","3784")</f>
        <v>3784</v>
      </c>
      <c r="B2097" s="1" t="s">
        <v>5033</v>
      </c>
      <c r="C2097" t="s">
        <v>5034</v>
      </c>
      <c r="D2097">
        <v>129.6</v>
      </c>
      <c r="E2097">
        <v>131.9</v>
      </c>
      <c r="F2097">
        <v>93.3</v>
      </c>
      <c r="G2097">
        <v>90.6</v>
      </c>
      <c r="H2097">
        <v>138.69999999999999</v>
      </c>
      <c r="I2097">
        <v>138.4</v>
      </c>
      <c r="J2097">
        <v>100</v>
      </c>
      <c r="K2097">
        <v>99.8</v>
      </c>
      <c r="L2097" s="1" t="s">
        <v>5033</v>
      </c>
      <c r="M2097" t="s">
        <v>5035</v>
      </c>
      <c r="N2097">
        <v>4</v>
      </c>
    </row>
    <row r="2098" spans="1:14" x14ac:dyDescent="0.25">
      <c r="A2098" s="3" t="str">
        <f>HYPERLINK("http://www.ncbi.nlm.nih.gov/gene/10984","10984")</f>
        <v>10984</v>
      </c>
      <c r="B2098" s="1" t="s">
        <v>5036</v>
      </c>
      <c r="C2098" t="s">
        <v>5037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 s="1" t="s">
        <v>5036</v>
      </c>
      <c r="M2098" t="s">
        <v>285</v>
      </c>
      <c r="N2098">
        <v>1</v>
      </c>
    </row>
    <row r="2099" spans="1:14" x14ac:dyDescent="0.25">
      <c r="A2099" s="3" t="str">
        <f>HYPERLINK("http://www.ncbi.nlm.nih.gov/gene/3785","3785")</f>
        <v>3785</v>
      </c>
      <c r="B2099" s="1" t="s">
        <v>5038</v>
      </c>
      <c r="C2099" t="s">
        <v>5039</v>
      </c>
      <c r="D2099">
        <v>111.8</v>
      </c>
      <c r="E2099">
        <v>113.6</v>
      </c>
      <c r="F2099">
        <v>91.3</v>
      </c>
      <c r="G2099">
        <v>89.8</v>
      </c>
      <c r="H2099">
        <v>160.6</v>
      </c>
      <c r="I2099">
        <v>165.7</v>
      </c>
      <c r="J2099">
        <v>100</v>
      </c>
      <c r="K2099">
        <v>100</v>
      </c>
      <c r="L2099" s="1" t="s">
        <v>5038</v>
      </c>
      <c r="M2099" t="s">
        <v>995</v>
      </c>
      <c r="N2099">
        <v>3</v>
      </c>
    </row>
    <row r="2100" spans="1:14" x14ac:dyDescent="0.25">
      <c r="A2100" s="3" t="str">
        <f>HYPERLINK("http://www.ncbi.nlm.nih.gov/gene/3786","3786")</f>
        <v>3786</v>
      </c>
      <c r="B2100" s="1" t="s">
        <v>5040</v>
      </c>
      <c r="C2100" t="s">
        <v>5041</v>
      </c>
      <c r="D2100">
        <v>123</v>
      </c>
      <c r="E2100">
        <v>123.9</v>
      </c>
      <c r="F2100">
        <v>100</v>
      </c>
      <c r="G2100">
        <v>99.4</v>
      </c>
      <c r="H2100">
        <v>141.9</v>
      </c>
      <c r="I2100">
        <v>146.30000000000001</v>
      </c>
      <c r="J2100">
        <v>99.8</v>
      </c>
      <c r="K2100">
        <v>99.1</v>
      </c>
      <c r="L2100" s="1" t="s">
        <v>5040</v>
      </c>
      <c r="M2100" t="s">
        <v>995</v>
      </c>
      <c r="N2100">
        <v>3</v>
      </c>
    </row>
    <row r="2101" spans="1:14" x14ac:dyDescent="0.25">
      <c r="A2101" s="3" t="str">
        <f>HYPERLINK("http://www.ncbi.nlm.nih.gov/gene/9132","9132")</f>
        <v>9132</v>
      </c>
      <c r="B2101" s="1" t="s">
        <v>5042</v>
      </c>
      <c r="C2101" t="s">
        <v>5043</v>
      </c>
      <c r="D2101">
        <v>152.1</v>
      </c>
      <c r="E2101">
        <v>156.19999999999999</v>
      </c>
      <c r="F2101">
        <v>97</v>
      </c>
      <c r="G2101">
        <v>95.7</v>
      </c>
      <c r="H2101">
        <v>123.5</v>
      </c>
      <c r="I2101">
        <v>125.1</v>
      </c>
      <c r="J2101">
        <v>96.4</v>
      </c>
      <c r="K2101">
        <v>93.9</v>
      </c>
      <c r="L2101" s="1" t="s">
        <v>5042</v>
      </c>
      <c r="M2101" t="s">
        <v>76</v>
      </c>
      <c r="N2101">
        <v>2</v>
      </c>
    </row>
    <row r="2102" spans="1:14" x14ac:dyDescent="0.25">
      <c r="A2102" s="3" t="str">
        <f>HYPERLINK("http://www.ncbi.nlm.nih.gov/gene/56479","56479")</f>
        <v>56479</v>
      </c>
      <c r="B2102" s="1" t="s">
        <v>5044</v>
      </c>
      <c r="C2102" t="s">
        <v>5045</v>
      </c>
      <c r="D2102">
        <v>161.6</v>
      </c>
      <c r="E2102">
        <v>164.4</v>
      </c>
      <c r="F2102">
        <v>97.8</v>
      </c>
      <c r="G2102">
        <v>95.5</v>
      </c>
      <c r="H2102">
        <v>130.30000000000001</v>
      </c>
      <c r="I2102">
        <v>133</v>
      </c>
      <c r="J2102">
        <v>100</v>
      </c>
      <c r="K2102">
        <v>100</v>
      </c>
      <c r="L2102" s="1" t="s">
        <v>5044</v>
      </c>
      <c r="M2102" t="s">
        <v>189</v>
      </c>
      <c r="N2102">
        <v>2</v>
      </c>
    </row>
    <row r="2103" spans="1:14" x14ac:dyDescent="0.25">
      <c r="A2103" s="3" t="str">
        <f>HYPERLINK("http://www.ncbi.nlm.nih.gov/gene/57582","57582")</f>
        <v>57582</v>
      </c>
      <c r="B2103" s="1" t="s">
        <v>5046</v>
      </c>
      <c r="C2103" t="s">
        <v>5047</v>
      </c>
      <c r="D2103">
        <v>127.3</v>
      </c>
      <c r="E2103">
        <v>129.69999999999999</v>
      </c>
      <c r="F2103">
        <v>96</v>
      </c>
      <c r="G2103">
        <v>95.2</v>
      </c>
      <c r="H2103">
        <v>133.6</v>
      </c>
      <c r="I2103">
        <v>136.4</v>
      </c>
      <c r="J2103">
        <v>98.6</v>
      </c>
      <c r="K2103">
        <v>97.3</v>
      </c>
      <c r="L2103" s="1" t="s">
        <v>5046</v>
      </c>
      <c r="M2103" t="s">
        <v>995</v>
      </c>
      <c r="N2103">
        <v>3</v>
      </c>
    </row>
    <row r="2104" spans="1:14" x14ac:dyDescent="0.25">
      <c r="A2104" s="3" t="str">
        <f>HYPERLINK("http://www.ncbi.nlm.nih.gov/gene/343450","343450")</f>
        <v>343450</v>
      </c>
      <c r="B2104" s="1" t="s">
        <v>5048</v>
      </c>
      <c r="C2104" t="s">
        <v>5049</v>
      </c>
      <c r="D2104">
        <v>121</v>
      </c>
      <c r="E2104">
        <v>125</v>
      </c>
      <c r="F2104">
        <v>99.4</v>
      </c>
      <c r="G2104">
        <v>97.1</v>
      </c>
      <c r="H2104">
        <v>131.4</v>
      </c>
      <c r="I2104">
        <v>135</v>
      </c>
      <c r="J2104">
        <v>100</v>
      </c>
      <c r="K2104">
        <v>100</v>
      </c>
      <c r="L2104" s="1" t="s">
        <v>5048</v>
      </c>
      <c r="M2104" t="s">
        <v>995</v>
      </c>
      <c r="N2104">
        <v>3</v>
      </c>
    </row>
    <row r="2105" spans="1:14" x14ac:dyDescent="0.25">
      <c r="A2105" s="3" t="str">
        <f>HYPERLINK("http://www.ncbi.nlm.nih.gov/gene/169522","169522")</f>
        <v>169522</v>
      </c>
      <c r="B2105" s="1" t="s">
        <v>5050</v>
      </c>
      <c r="C2105" t="s">
        <v>5051</v>
      </c>
      <c r="D2105">
        <v>116</v>
      </c>
      <c r="E2105">
        <v>111.4</v>
      </c>
      <c r="F2105">
        <v>100</v>
      </c>
      <c r="G2105">
        <v>99.9</v>
      </c>
      <c r="H2105">
        <v>158.4</v>
      </c>
      <c r="I2105">
        <v>156.80000000000001</v>
      </c>
      <c r="J2105">
        <v>100</v>
      </c>
      <c r="K2105">
        <v>100</v>
      </c>
      <c r="L2105" s="1" t="s">
        <v>5050</v>
      </c>
      <c r="M2105" t="s">
        <v>56</v>
      </c>
      <c r="N2105">
        <v>3</v>
      </c>
    </row>
    <row r="2106" spans="1:14" x14ac:dyDescent="0.25">
      <c r="A2106" s="3" t="str">
        <f>HYPERLINK("http://www.ncbi.nlm.nih.gov/gene/284252","284252")</f>
        <v>284252</v>
      </c>
      <c r="B2106" s="1" t="s">
        <v>5052</v>
      </c>
      <c r="C2106" t="s">
        <v>5053</v>
      </c>
      <c r="D2106">
        <v>125</v>
      </c>
      <c r="E2106">
        <v>116.2</v>
      </c>
      <c r="F2106">
        <v>97.3</v>
      </c>
      <c r="G2106">
        <v>88.8</v>
      </c>
      <c r="H2106">
        <v>147.4</v>
      </c>
      <c r="I2106">
        <v>154.5</v>
      </c>
      <c r="J2106">
        <v>99.9</v>
      </c>
      <c r="K2106">
        <v>99.4</v>
      </c>
      <c r="L2106" s="1" t="s">
        <v>5052</v>
      </c>
      <c r="M2106" t="s">
        <v>285</v>
      </c>
      <c r="N2106">
        <v>1</v>
      </c>
    </row>
    <row r="2107" spans="1:14" x14ac:dyDescent="0.25">
      <c r="A2107" s="3" t="str">
        <f>HYPERLINK("http://www.ncbi.nlm.nih.gov/gene/79734","79734")</f>
        <v>79734</v>
      </c>
      <c r="B2107" s="1" t="s">
        <v>5054</v>
      </c>
      <c r="D2107">
        <v>102.2</v>
      </c>
      <c r="E2107">
        <v>104.8</v>
      </c>
      <c r="F2107">
        <v>100</v>
      </c>
      <c r="G2107">
        <v>99</v>
      </c>
      <c r="H2107">
        <v>136.5</v>
      </c>
      <c r="I2107">
        <v>140.19999999999999</v>
      </c>
      <c r="J2107">
        <v>100</v>
      </c>
      <c r="K2107">
        <v>100</v>
      </c>
      <c r="L2107" s="1" t="s">
        <v>5054</v>
      </c>
      <c r="M2107" t="s">
        <v>285</v>
      </c>
      <c r="N2107">
        <v>1</v>
      </c>
    </row>
    <row r="2108" spans="1:14" x14ac:dyDescent="0.25">
      <c r="A2108" s="3" t="str">
        <f>HYPERLINK("http://www.ncbi.nlm.nih.gov/gene/51133","51133")</f>
        <v>51133</v>
      </c>
      <c r="B2108" s="1" t="s">
        <v>5055</v>
      </c>
      <c r="C2108" t="s">
        <v>5056</v>
      </c>
      <c r="D2108">
        <v>145.6</v>
      </c>
      <c r="E2108">
        <v>144</v>
      </c>
      <c r="F2108">
        <v>100</v>
      </c>
      <c r="G2108">
        <v>99.7</v>
      </c>
      <c r="H2108">
        <v>136.4</v>
      </c>
      <c r="I2108">
        <v>138.80000000000001</v>
      </c>
      <c r="J2108">
        <v>100</v>
      </c>
      <c r="K2108">
        <v>100</v>
      </c>
      <c r="L2108" s="1" t="s">
        <v>5055</v>
      </c>
      <c r="M2108" t="s">
        <v>3373</v>
      </c>
      <c r="N2108">
        <v>3</v>
      </c>
    </row>
    <row r="2109" spans="1:14" x14ac:dyDescent="0.25">
      <c r="A2109" s="3" t="str">
        <f>HYPERLINK("http://www.ncbi.nlm.nih.gov/gene/154881","154881")</f>
        <v>154881</v>
      </c>
      <c r="B2109" s="1" t="s">
        <v>5057</v>
      </c>
      <c r="C2109" t="s">
        <v>5058</v>
      </c>
      <c r="D2109">
        <v>161.5</v>
      </c>
      <c r="E2109">
        <v>163.6</v>
      </c>
      <c r="F2109">
        <v>95</v>
      </c>
      <c r="G2109">
        <v>95</v>
      </c>
      <c r="H2109">
        <v>148.69999999999999</v>
      </c>
      <c r="I2109">
        <v>153.80000000000001</v>
      </c>
      <c r="J2109">
        <v>100</v>
      </c>
      <c r="K2109">
        <v>100</v>
      </c>
      <c r="L2109" s="1" t="s">
        <v>5057</v>
      </c>
      <c r="M2109" t="s">
        <v>548</v>
      </c>
      <c r="N2109">
        <v>5</v>
      </c>
    </row>
    <row r="2110" spans="1:14" x14ac:dyDescent="0.25">
      <c r="A2110" s="3" t="str">
        <f>HYPERLINK("http://www.ncbi.nlm.nih.gov/gene/11014","11014")</f>
        <v>11014</v>
      </c>
      <c r="B2110" s="1" t="s">
        <v>5059</v>
      </c>
      <c r="C2110" t="s">
        <v>5060</v>
      </c>
      <c r="D2110">
        <v>111.1</v>
      </c>
      <c r="E2110">
        <v>116.7</v>
      </c>
      <c r="F2110">
        <v>100</v>
      </c>
      <c r="G2110">
        <v>100</v>
      </c>
      <c r="H2110">
        <v>130.19999999999999</v>
      </c>
      <c r="I2110">
        <v>135.5</v>
      </c>
      <c r="J2110">
        <v>100</v>
      </c>
      <c r="K2110">
        <v>100</v>
      </c>
      <c r="L2110" s="1" t="s">
        <v>5059</v>
      </c>
      <c r="M2110" t="s">
        <v>1487</v>
      </c>
      <c r="N2110">
        <v>2</v>
      </c>
    </row>
    <row r="2111" spans="1:14" x14ac:dyDescent="0.25">
      <c r="A2111" s="3" t="str">
        <f>HYPERLINK("http://www.ncbi.nlm.nih.gov/gene/126695","126695")</f>
        <v>126695</v>
      </c>
      <c r="B2111" s="1" t="s">
        <v>5061</v>
      </c>
      <c r="C2111" t="s">
        <v>5062</v>
      </c>
      <c r="D2111">
        <v>139.9</v>
      </c>
      <c r="E2111">
        <v>111.2</v>
      </c>
      <c r="F2111">
        <v>100</v>
      </c>
      <c r="G2111">
        <v>99.8</v>
      </c>
      <c r="H2111">
        <v>146.30000000000001</v>
      </c>
      <c r="I2111">
        <v>146.9</v>
      </c>
      <c r="J2111">
        <v>100</v>
      </c>
      <c r="K2111">
        <v>100</v>
      </c>
      <c r="L2111" s="1" t="s">
        <v>5061</v>
      </c>
      <c r="M2111" t="s">
        <v>5063</v>
      </c>
      <c r="N2111">
        <v>3</v>
      </c>
    </row>
    <row r="2112" spans="1:14" x14ac:dyDescent="0.25">
      <c r="A2112" s="3" t="str">
        <f>HYPERLINK("http://www.ncbi.nlm.nih.gov/gene/23028","23028")</f>
        <v>23028</v>
      </c>
      <c r="B2112" s="1" t="s">
        <v>5064</v>
      </c>
      <c r="C2112" t="s">
        <v>5065</v>
      </c>
      <c r="D2112">
        <v>144.1</v>
      </c>
      <c r="E2112">
        <v>149.1</v>
      </c>
      <c r="F2112">
        <v>98.2</v>
      </c>
      <c r="G2112">
        <v>95.3</v>
      </c>
      <c r="H2112">
        <v>120.8</v>
      </c>
      <c r="I2112">
        <v>123.8</v>
      </c>
      <c r="J2112">
        <v>100</v>
      </c>
      <c r="K2112">
        <v>100</v>
      </c>
      <c r="L2112" s="1" t="s">
        <v>5064</v>
      </c>
      <c r="M2112" t="s">
        <v>1679</v>
      </c>
      <c r="N2112">
        <v>3</v>
      </c>
    </row>
    <row r="2113" spans="1:14" x14ac:dyDescent="0.25">
      <c r="A2113" s="3" t="str">
        <f>HYPERLINK("http://www.ncbi.nlm.nih.gov/gene/51780","51780")</f>
        <v>51780</v>
      </c>
      <c r="B2113" s="1" t="s">
        <v>5066</v>
      </c>
      <c r="C2113" t="s">
        <v>5067</v>
      </c>
      <c r="D2113">
        <v>139.5</v>
      </c>
      <c r="E2113">
        <v>139.30000000000001</v>
      </c>
      <c r="F2113">
        <v>97.5</v>
      </c>
      <c r="G2113">
        <v>96.3</v>
      </c>
      <c r="H2113">
        <v>136.30000000000001</v>
      </c>
      <c r="I2113">
        <v>139.6</v>
      </c>
      <c r="J2113">
        <v>100</v>
      </c>
      <c r="K2113">
        <v>100</v>
      </c>
      <c r="L2113" s="1" t="s">
        <v>5066</v>
      </c>
      <c r="M2113" t="s">
        <v>189</v>
      </c>
      <c r="N2113">
        <v>2</v>
      </c>
    </row>
    <row r="2114" spans="1:14" x14ac:dyDescent="0.25">
      <c r="A2114" s="3" t="str">
        <f>HYPERLINK("http://www.ncbi.nlm.nih.gov/gene/10765","10765")</f>
        <v>10765</v>
      </c>
      <c r="B2114" s="1" t="s">
        <v>5068</v>
      </c>
      <c r="C2114" t="s">
        <v>5069</v>
      </c>
      <c r="D2114">
        <v>132.4</v>
      </c>
      <c r="E2114">
        <v>132.19999999999999</v>
      </c>
      <c r="F2114">
        <v>94.6</v>
      </c>
      <c r="G2114">
        <v>92.3</v>
      </c>
      <c r="H2114">
        <v>126</v>
      </c>
      <c r="I2114">
        <v>124.7</v>
      </c>
      <c r="J2114">
        <v>93.9</v>
      </c>
      <c r="K2114">
        <v>92.9</v>
      </c>
      <c r="L2114" s="1" t="s">
        <v>5068</v>
      </c>
      <c r="M2114" t="s">
        <v>228</v>
      </c>
      <c r="N2114">
        <v>3</v>
      </c>
    </row>
    <row r="2115" spans="1:14" x14ac:dyDescent="0.25">
      <c r="A2115" s="3" t="str">
        <f>HYPERLINK("http://www.ncbi.nlm.nih.gov/gene/8242","8242")</f>
        <v>8242</v>
      </c>
      <c r="B2115" s="1" t="s">
        <v>5070</v>
      </c>
      <c r="C2115" t="s">
        <v>5071</v>
      </c>
      <c r="D2115">
        <v>111.5</v>
      </c>
      <c r="E2115">
        <v>109.2</v>
      </c>
      <c r="F2115">
        <v>99.8</v>
      </c>
      <c r="G2115">
        <v>97.9</v>
      </c>
      <c r="H2115">
        <v>145</v>
      </c>
      <c r="I2115">
        <v>148.30000000000001</v>
      </c>
      <c r="J2115">
        <v>100</v>
      </c>
      <c r="K2115">
        <v>100</v>
      </c>
      <c r="L2115" s="1" t="s">
        <v>5070</v>
      </c>
      <c r="M2115" t="s">
        <v>731</v>
      </c>
      <c r="N2115">
        <v>3</v>
      </c>
    </row>
    <row r="2116" spans="1:14" x14ac:dyDescent="0.25">
      <c r="A2116" s="3" t="str">
        <f>HYPERLINK("http://www.ncbi.nlm.nih.gov/gene/7403","7403")</f>
        <v>7403</v>
      </c>
      <c r="B2116" s="1" t="s">
        <v>5072</v>
      </c>
      <c r="C2116" t="s">
        <v>5073</v>
      </c>
      <c r="D2116">
        <v>111.6</v>
      </c>
      <c r="E2116">
        <v>114.8</v>
      </c>
      <c r="F2116">
        <v>96.1</v>
      </c>
      <c r="G2116">
        <v>88.7</v>
      </c>
      <c r="H2116">
        <v>129.69999999999999</v>
      </c>
      <c r="I2116">
        <v>132.4</v>
      </c>
      <c r="J2116">
        <v>100</v>
      </c>
      <c r="K2116">
        <v>99.9</v>
      </c>
      <c r="L2116" s="1" t="s">
        <v>5072</v>
      </c>
      <c r="M2116" t="s">
        <v>5074</v>
      </c>
      <c r="N2116">
        <v>5</v>
      </c>
    </row>
    <row r="2117" spans="1:14" x14ac:dyDescent="0.25">
      <c r="A2117" s="3" t="str">
        <f>HYPERLINK("http://www.ncbi.nlm.nih.gov/gene/23135","23135")</f>
        <v>23135</v>
      </c>
      <c r="B2117" s="1" t="s">
        <v>5075</v>
      </c>
      <c r="C2117" t="s">
        <v>5076</v>
      </c>
      <c r="D2117">
        <v>167.3</v>
      </c>
      <c r="E2117">
        <v>161.30000000000001</v>
      </c>
      <c r="F2117">
        <v>98.8</v>
      </c>
      <c r="G2117">
        <v>97.9</v>
      </c>
      <c r="H2117">
        <v>161.5</v>
      </c>
      <c r="I2117">
        <v>160.69999999999999</v>
      </c>
      <c r="J2117">
        <v>100</v>
      </c>
      <c r="K2117">
        <v>100</v>
      </c>
      <c r="L2117" s="1" t="s">
        <v>5075</v>
      </c>
      <c r="M2117" t="s">
        <v>5077</v>
      </c>
      <c r="N2117">
        <v>3</v>
      </c>
    </row>
    <row r="2118" spans="1:14" x14ac:dyDescent="0.25">
      <c r="A2118" s="3" t="str">
        <f>HYPERLINK("http://www.ncbi.nlm.nih.gov/gene/3791","3791")</f>
        <v>3791</v>
      </c>
      <c r="B2118" s="1" t="s">
        <v>5078</v>
      </c>
      <c r="C2118" t="s">
        <v>5079</v>
      </c>
      <c r="D2118">
        <v>138.5</v>
      </c>
      <c r="E2118">
        <v>143.5</v>
      </c>
      <c r="F2118">
        <v>100</v>
      </c>
      <c r="G2118">
        <v>99.8</v>
      </c>
      <c r="H2118">
        <v>140.5</v>
      </c>
      <c r="I2118">
        <v>144.30000000000001</v>
      </c>
      <c r="J2118">
        <v>100</v>
      </c>
      <c r="K2118">
        <v>100</v>
      </c>
      <c r="L2118" s="1" t="s">
        <v>5078</v>
      </c>
      <c r="M2118" t="s">
        <v>22</v>
      </c>
      <c r="N2118">
        <v>1</v>
      </c>
    </row>
    <row r="2119" spans="1:14" x14ac:dyDescent="0.25">
      <c r="A2119" s="3" t="str">
        <f>HYPERLINK("http://www.ncbi.nlm.nih.gov/gene/2531","2531")</f>
        <v>2531</v>
      </c>
      <c r="B2119" s="1" t="s">
        <v>5080</v>
      </c>
      <c r="C2119" t="s">
        <v>5081</v>
      </c>
      <c r="D2119">
        <v>173.4</v>
      </c>
      <c r="E2119">
        <v>182.9</v>
      </c>
      <c r="F2119">
        <v>100</v>
      </c>
      <c r="G2119">
        <v>99.5</v>
      </c>
      <c r="H2119">
        <v>134.30000000000001</v>
      </c>
      <c r="I2119">
        <v>137.30000000000001</v>
      </c>
      <c r="J2119">
        <v>100</v>
      </c>
      <c r="K2119">
        <v>100</v>
      </c>
      <c r="L2119" s="1" t="s">
        <v>5080</v>
      </c>
      <c r="M2119" t="s">
        <v>5082</v>
      </c>
      <c r="N2119">
        <v>3</v>
      </c>
    </row>
    <row r="2120" spans="1:14" x14ac:dyDescent="0.25">
      <c r="A2120" s="3" t="str">
        <f>HYPERLINK("http://www.ncbi.nlm.nih.gov/gene/11081","11081")</f>
        <v>11081</v>
      </c>
      <c r="B2120" s="1" t="s">
        <v>5083</v>
      </c>
      <c r="C2120" t="s">
        <v>5084</v>
      </c>
      <c r="D2120">
        <v>194.2</v>
      </c>
      <c r="E2120">
        <v>204.3</v>
      </c>
      <c r="F2120">
        <v>100</v>
      </c>
      <c r="G2120">
        <v>100</v>
      </c>
      <c r="H2120">
        <v>157.4</v>
      </c>
      <c r="I2120">
        <v>158.5</v>
      </c>
      <c r="J2120">
        <v>100</v>
      </c>
      <c r="K2120">
        <v>100</v>
      </c>
      <c r="L2120" s="1" t="s">
        <v>5083</v>
      </c>
      <c r="M2120" t="s">
        <v>56</v>
      </c>
      <c r="N2120">
        <v>3</v>
      </c>
    </row>
    <row r="2121" spans="1:14" x14ac:dyDescent="0.25">
      <c r="A2121" s="3" t="str">
        <f>HYPERLINK("http://www.ncbi.nlm.nih.gov/gene/154288","154288")</f>
        <v>154288</v>
      </c>
      <c r="B2121" s="1" t="s">
        <v>5085</v>
      </c>
      <c r="C2121" t="s">
        <v>5086</v>
      </c>
      <c r="D2121">
        <v>169.6</v>
      </c>
      <c r="E2121">
        <v>180.3</v>
      </c>
      <c r="F2121">
        <v>100</v>
      </c>
      <c r="G2121">
        <v>99.8</v>
      </c>
      <c r="H2121">
        <v>163.80000000000001</v>
      </c>
      <c r="I2121">
        <v>169.1</v>
      </c>
      <c r="J2121">
        <v>100</v>
      </c>
      <c r="K2121">
        <v>100</v>
      </c>
      <c r="L2121" s="1" t="s">
        <v>5085</v>
      </c>
      <c r="M2121" t="s">
        <v>53</v>
      </c>
      <c r="N2121">
        <v>2</v>
      </c>
    </row>
    <row r="2122" spans="1:14" x14ac:dyDescent="0.25">
      <c r="A2122" s="3" t="str">
        <f>HYPERLINK("http://www.ncbi.nlm.nih.gov/gene/9786","9786")</f>
        <v>9786</v>
      </c>
      <c r="B2122" s="1" t="s">
        <v>5087</v>
      </c>
      <c r="C2122" t="s">
        <v>5088</v>
      </c>
      <c r="D2122">
        <v>138.19999999999999</v>
      </c>
      <c r="E2122">
        <v>143.80000000000001</v>
      </c>
      <c r="F2122">
        <v>97.3</v>
      </c>
      <c r="G2122">
        <v>93.1</v>
      </c>
      <c r="H2122">
        <v>121.4</v>
      </c>
      <c r="I2122">
        <v>125</v>
      </c>
      <c r="J2122">
        <v>95.8</v>
      </c>
      <c r="K2122">
        <v>95.8</v>
      </c>
      <c r="L2122" s="1" t="s">
        <v>5087</v>
      </c>
      <c r="M2122" t="s">
        <v>5089</v>
      </c>
      <c r="N2122">
        <v>7</v>
      </c>
    </row>
    <row r="2123" spans="1:14" x14ac:dyDescent="0.25">
      <c r="A2123" s="3" t="str">
        <f>HYPERLINK("http://www.ncbi.nlm.nih.gov/gene/9851","9851")</f>
        <v>9851</v>
      </c>
      <c r="B2123" s="1" t="s">
        <v>5090</v>
      </c>
      <c r="C2123" t="s">
        <v>5091</v>
      </c>
      <c r="D2123">
        <v>140.9</v>
      </c>
      <c r="E2123">
        <v>148.6</v>
      </c>
      <c r="F2123">
        <v>100</v>
      </c>
      <c r="G2123">
        <v>99.3</v>
      </c>
      <c r="H2123">
        <v>129.69999999999999</v>
      </c>
      <c r="I2123">
        <v>133.19999999999999</v>
      </c>
      <c r="J2123">
        <v>100</v>
      </c>
      <c r="K2123">
        <v>100</v>
      </c>
      <c r="L2123" s="1" t="s">
        <v>5090</v>
      </c>
      <c r="M2123" t="s">
        <v>2976</v>
      </c>
      <c r="N2123">
        <v>4</v>
      </c>
    </row>
    <row r="2124" spans="1:14" x14ac:dyDescent="0.25">
      <c r="A2124" s="3" t="str">
        <f>HYPERLINK("http://www.ncbi.nlm.nih.gov/gene/285600","285600")</f>
        <v>285600</v>
      </c>
      <c r="B2124" s="1" t="s">
        <v>5092</v>
      </c>
      <c r="C2124" t="s">
        <v>5093</v>
      </c>
      <c r="D2124">
        <v>128.6</v>
      </c>
      <c r="E2124">
        <v>130.4</v>
      </c>
      <c r="F2124">
        <v>99.4</v>
      </c>
      <c r="G2124">
        <v>97.7</v>
      </c>
      <c r="H2124">
        <v>118.8</v>
      </c>
      <c r="I2124">
        <v>121.4</v>
      </c>
      <c r="J2124">
        <v>100</v>
      </c>
      <c r="K2124">
        <v>100</v>
      </c>
      <c r="L2124" s="1" t="s">
        <v>5092</v>
      </c>
      <c r="M2124" t="s">
        <v>59</v>
      </c>
      <c r="N2124">
        <v>1</v>
      </c>
    </row>
    <row r="2125" spans="1:14" x14ac:dyDescent="0.25">
      <c r="A2125" s="3" t="str">
        <f>HYPERLINK("http://www.ncbi.nlm.nih.gov/gene/84162","84162")</f>
        <v>84162</v>
      </c>
      <c r="B2125" s="1" t="s">
        <v>5094</v>
      </c>
      <c r="C2125" t="s">
        <v>5095</v>
      </c>
      <c r="D2125">
        <v>165.7</v>
      </c>
      <c r="E2125">
        <v>170.5</v>
      </c>
      <c r="F2125">
        <v>99.8</v>
      </c>
      <c r="G2125">
        <v>99.2</v>
      </c>
      <c r="H2125">
        <v>131.19999999999999</v>
      </c>
      <c r="I2125">
        <v>135.19999999999999</v>
      </c>
      <c r="J2125">
        <v>100</v>
      </c>
      <c r="K2125">
        <v>100</v>
      </c>
      <c r="L2125" s="1" t="s">
        <v>5094</v>
      </c>
      <c r="M2125" t="s">
        <v>3620</v>
      </c>
      <c r="N2125">
        <v>4</v>
      </c>
    </row>
    <row r="2126" spans="1:14" x14ac:dyDescent="0.25">
      <c r="A2126" s="3" t="str">
        <f>HYPERLINK("http://www.ncbi.nlm.nih.gov/gene/57670","57670")</f>
        <v>57670</v>
      </c>
      <c r="B2126" s="1" t="s">
        <v>5096</v>
      </c>
      <c r="C2126" t="s">
        <v>5097</v>
      </c>
      <c r="D2126">
        <v>133.9</v>
      </c>
      <c r="E2126">
        <v>133.5</v>
      </c>
      <c r="F2126">
        <v>97.9</v>
      </c>
      <c r="G2126">
        <v>96.4</v>
      </c>
      <c r="H2126">
        <v>139.30000000000001</v>
      </c>
      <c r="I2126">
        <v>141.6</v>
      </c>
      <c r="J2126">
        <v>98.8</v>
      </c>
      <c r="K2126">
        <v>98</v>
      </c>
      <c r="L2126" s="1" t="s">
        <v>5096</v>
      </c>
      <c r="M2126" t="s">
        <v>56</v>
      </c>
      <c r="N2126">
        <v>3</v>
      </c>
    </row>
    <row r="2127" spans="1:14" x14ac:dyDescent="0.25">
      <c r="A2127" s="3" t="str">
        <f>HYPERLINK("http://www.ncbi.nlm.nih.gov/gene/57498","57498")</f>
        <v>57498</v>
      </c>
      <c r="B2127" s="1" t="s">
        <v>5098</v>
      </c>
      <c r="C2127" t="s">
        <v>5099</v>
      </c>
      <c r="D2127">
        <v>162.19999999999999</v>
      </c>
      <c r="E2127">
        <v>167.4</v>
      </c>
      <c r="F2127">
        <v>100</v>
      </c>
      <c r="G2127">
        <v>100</v>
      </c>
      <c r="H2127">
        <v>154.1</v>
      </c>
      <c r="I2127">
        <v>157.80000000000001</v>
      </c>
      <c r="J2127">
        <v>100</v>
      </c>
      <c r="K2127">
        <v>100</v>
      </c>
      <c r="L2127" s="1" t="s">
        <v>5098</v>
      </c>
      <c r="M2127" t="s">
        <v>1357</v>
      </c>
      <c r="N2127">
        <v>3</v>
      </c>
    </row>
    <row r="2128" spans="1:14" x14ac:dyDescent="0.25">
      <c r="A2128" s="3" t="str">
        <f>HYPERLINK("http://www.ncbi.nlm.nih.gov/gene/3832","3832")</f>
        <v>3832</v>
      </c>
      <c r="B2128" s="1" t="s">
        <v>5100</v>
      </c>
      <c r="C2128" t="s">
        <v>5101</v>
      </c>
      <c r="D2128">
        <v>101</v>
      </c>
      <c r="E2128">
        <v>105.2</v>
      </c>
      <c r="F2128">
        <v>97.6</v>
      </c>
      <c r="G2128">
        <v>94.8</v>
      </c>
      <c r="H2128">
        <v>116.8</v>
      </c>
      <c r="I2128">
        <v>120.1</v>
      </c>
      <c r="J2128">
        <v>100</v>
      </c>
      <c r="K2128">
        <v>100</v>
      </c>
      <c r="L2128" s="1" t="s">
        <v>5100</v>
      </c>
      <c r="M2128" t="s">
        <v>5102</v>
      </c>
      <c r="N2128">
        <v>4</v>
      </c>
    </row>
    <row r="2129" spans="1:14" x14ac:dyDescent="0.25">
      <c r="A2129" s="3" t="str">
        <f>HYPERLINK("http://www.ncbi.nlm.nih.gov/gene/9928","9928")</f>
        <v>9928</v>
      </c>
      <c r="B2129" s="1" t="s">
        <v>5103</v>
      </c>
      <c r="C2129" t="s">
        <v>5104</v>
      </c>
      <c r="D2129">
        <v>138.30000000000001</v>
      </c>
      <c r="E2129">
        <v>143.1</v>
      </c>
      <c r="F2129">
        <v>99.6</v>
      </c>
      <c r="G2129">
        <v>97.7</v>
      </c>
      <c r="H2129">
        <v>131.6</v>
      </c>
      <c r="I2129">
        <v>134.6</v>
      </c>
      <c r="J2129">
        <v>100</v>
      </c>
      <c r="K2129">
        <v>100</v>
      </c>
      <c r="L2129" s="1" t="s">
        <v>5103</v>
      </c>
      <c r="M2129" t="s">
        <v>1730</v>
      </c>
      <c r="N2129">
        <v>5</v>
      </c>
    </row>
    <row r="2130" spans="1:14" x14ac:dyDescent="0.25">
      <c r="A2130" s="3" t="str">
        <f>HYPERLINK("http://www.ncbi.nlm.nih.gov/gene/547","547")</f>
        <v>547</v>
      </c>
      <c r="B2130" s="1" t="s">
        <v>5105</v>
      </c>
      <c r="C2130" t="s">
        <v>5106</v>
      </c>
      <c r="D2130">
        <v>114.3</v>
      </c>
      <c r="E2130">
        <v>114.7</v>
      </c>
      <c r="F2130">
        <v>97.4</v>
      </c>
      <c r="G2130">
        <v>95.2</v>
      </c>
      <c r="H2130">
        <v>140.5</v>
      </c>
      <c r="I2130">
        <v>144.4</v>
      </c>
      <c r="J2130">
        <v>98</v>
      </c>
      <c r="K2130">
        <v>98</v>
      </c>
      <c r="L2130" s="1" t="s">
        <v>5105</v>
      </c>
      <c r="M2130" t="s">
        <v>5107</v>
      </c>
      <c r="N2130">
        <v>7</v>
      </c>
    </row>
    <row r="2131" spans="1:14" x14ac:dyDescent="0.25">
      <c r="A2131" s="3" t="str">
        <f>HYPERLINK("http://www.ncbi.nlm.nih.gov/gene/23095","23095")</f>
        <v>23095</v>
      </c>
      <c r="B2131" s="1" t="s">
        <v>5108</v>
      </c>
      <c r="C2131" t="s">
        <v>5109</v>
      </c>
      <c r="D2131">
        <v>163</v>
      </c>
      <c r="E2131">
        <v>167.4</v>
      </c>
      <c r="F2131">
        <v>100</v>
      </c>
      <c r="G2131">
        <v>99.6</v>
      </c>
      <c r="H2131">
        <v>126.9</v>
      </c>
      <c r="I2131">
        <v>130.30000000000001</v>
      </c>
      <c r="J2131">
        <v>100</v>
      </c>
      <c r="K2131">
        <v>100</v>
      </c>
      <c r="L2131" s="1" t="s">
        <v>5108</v>
      </c>
      <c r="M2131" t="s">
        <v>5110</v>
      </c>
      <c r="N2131">
        <v>3</v>
      </c>
    </row>
    <row r="2132" spans="1:14" x14ac:dyDescent="0.25">
      <c r="A2132" s="3" t="str">
        <f>HYPERLINK("http://www.ncbi.nlm.nih.gov/gene/10749","10749")</f>
        <v>10749</v>
      </c>
      <c r="B2132" s="1" t="s">
        <v>5111</v>
      </c>
      <c r="C2132" t="s">
        <v>5112</v>
      </c>
      <c r="D2132">
        <v>153.69999999999999</v>
      </c>
      <c r="E2132">
        <v>157.4</v>
      </c>
      <c r="F2132">
        <v>100</v>
      </c>
      <c r="G2132">
        <v>100</v>
      </c>
      <c r="H2132">
        <v>152.19999999999999</v>
      </c>
      <c r="I2132">
        <v>155</v>
      </c>
      <c r="J2132">
        <v>100</v>
      </c>
      <c r="K2132">
        <v>100</v>
      </c>
      <c r="L2132" s="1" t="s">
        <v>5111</v>
      </c>
      <c r="M2132" t="s">
        <v>838</v>
      </c>
      <c r="N2132">
        <v>3</v>
      </c>
    </row>
    <row r="2133" spans="1:14" x14ac:dyDescent="0.25">
      <c r="A2133" s="3" t="str">
        <f>HYPERLINK("http://www.ncbi.nlm.nih.gov/gene/55605","55605")</f>
        <v>55605</v>
      </c>
      <c r="B2133" s="1" t="s">
        <v>5113</v>
      </c>
      <c r="C2133" t="s">
        <v>5114</v>
      </c>
      <c r="D2133">
        <v>143</v>
      </c>
      <c r="E2133">
        <v>147.69999999999999</v>
      </c>
      <c r="F2133">
        <v>99.9</v>
      </c>
      <c r="G2133">
        <v>99.3</v>
      </c>
      <c r="H2133">
        <v>135.69999999999999</v>
      </c>
      <c r="I2133">
        <v>139.80000000000001</v>
      </c>
      <c r="J2133">
        <v>100</v>
      </c>
      <c r="K2133">
        <v>100</v>
      </c>
      <c r="L2133" s="1" t="s">
        <v>5113</v>
      </c>
      <c r="M2133" t="s">
        <v>5115</v>
      </c>
      <c r="N2133">
        <v>3</v>
      </c>
    </row>
    <row r="2134" spans="1:14" x14ac:dyDescent="0.25">
      <c r="A2134" s="3" t="str">
        <f>HYPERLINK("http://www.ncbi.nlm.nih.gov/gene/3835","3835")</f>
        <v>3835</v>
      </c>
      <c r="B2134" s="1" t="s">
        <v>5116</v>
      </c>
      <c r="C2134" t="s">
        <v>5117</v>
      </c>
      <c r="D2134">
        <v>183.4</v>
      </c>
      <c r="E2134">
        <v>188.3</v>
      </c>
      <c r="F2134">
        <v>100</v>
      </c>
      <c r="G2134">
        <v>100</v>
      </c>
      <c r="H2134">
        <v>134.1</v>
      </c>
      <c r="I2134">
        <v>137.69999999999999</v>
      </c>
      <c r="J2134">
        <v>100</v>
      </c>
      <c r="K2134">
        <v>100</v>
      </c>
      <c r="L2134" s="1" t="s">
        <v>5116</v>
      </c>
      <c r="M2134" t="s">
        <v>1253</v>
      </c>
      <c r="N2134">
        <v>2</v>
      </c>
    </row>
    <row r="2135" spans="1:14" x14ac:dyDescent="0.25">
      <c r="A2135" s="3" t="str">
        <f>HYPERLINK("http://www.ncbi.nlm.nih.gov/gene/9493","9493")</f>
        <v>9493</v>
      </c>
      <c r="B2135" s="1" t="s">
        <v>5118</v>
      </c>
      <c r="C2135" t="s">
        <v>5119</v>
      </c>
      <c r="D2135">
        <v>163.1</v>
      </c>
      <c r="E2135">
        <v>167.9</v>
      </c>
      <c r="F2135">
        <v>99.5</v>
      </c>
      <c r="G2135">
        <v>96.3</v>
      </c>
      <c r="H2135">
        <v>122.4</v>
      </c>
      <c r="I2135">
        <v>126.1</v>
      </c>
      <c r="J2135">
        <v>100</v>
      </c>
      <c r="K2135">
        <v>100</v>
      </c>
      <c r="L2135" s="1" t="s">
        <v>5118</v>
      </c>
      <c r="M2135" t="s">
        <v>5120</v>
      </c>
      <c r="N2135">
        <v>2</v>
      </c>
    </row>
    <row r="2136" spans="1:14" x14ac:dyDescent="0.25">
      <c r="A2136" s="3" t="str">
        <f>HYPERLINK("http://www.ncbi.nlm.nih.gov/gene/3796","3796")</f>
        <v>3796</v>
      </c>
      <c r="B2136" s="1" t="s">
        <v>5121</v>
      </c>
      <c r="C2136" t="s">
        <v>5122</v>
      </c>
      <c r="D2136">
        <v>118.2</v>
      </c>
      <c r="E2136">
        <v>121.1</v>
      </c>
      <c r="F2136">
        <v>99.6</v>
      </c>
      <c r="G2136">
        <v>95.6</v>
      </c>
      <c r="H2136">
        <v>116.4</v>
      </c>
      <c r="I2136">
        <v>119.6</v>
      </c>
      <c r="J2136">
        <v>100</v>
      </c>
      <c r="K2136">
        <v>100</v>
      </c>
      <c r="L2136" s="1" t="s">
        <v>5121</v>
      </c>
      <c r="M2136" t="s">
        <v>189</v>
      </c>
      <c r="N2136">
        <v>2</v>
      </c>
    </row>
    <row r="2137" spans="1:14" x14ac:dyDescent="0.25">
      <c r="A2137" s="3" t="str">
        <f>HYPERLINK("http://www.ncbi.nlm.nih.gov/gene/9371","9371")</f>
        <v>9371</v>
      </c>
      <c r="B2137" s="1" t="s">
        <v>5123</v>
      </c>
      <c r="C2137" t="s">
        <v>5124</v>
      </c>
      <c r="D2137">
        <v>108.6</v>
      </c>
      <c r="E2137">
        <v>114.8</v>
      </c>
      <c r="F2137">
        <v>100</v>
      </c>
      <c r="G2137">
        <v>99.7</v>
      </c>
      <c r="H2137">
        <v>134.19999999999999</v>
      </c>
      <c r="I2137">
        <v>135.1</v>
      </c>
      <c r="J2137">
        <v>100</v>
      </c>
      <c r="K2137">
        <v>100</v>
      </c>
      <c r="L2137" s="1" t="s">
        <v>5123</v>
      </c>
      <c r="M2137" t="s">
        <v>5125</v>
      </c>
      <c r="N2137">
        <v>3</v>
      </c>
    </row>
    <row r="2138" spans="1:14" x14ac:dyDescent="0.25">
      <c r="A2138" s="3" t="str">
        <f>HYPERLINK("http://www.ncbi.nlm.nih.gov/gene/24137","24137")</f>
        <v>24137</v>
      </c>
      <c r="B2138" s="1" t="s">
        <v>5126</v>
      </c>
      <c r="C2138" t="s">
        <v>5127</v>
      </c>
      <c r="D2138">
        <v>92.1</v>
      </c>
      <c r="E2138">
        <v>94.1</v>
      </c>
      <c r="F2138">
        <v>99.4</v>
      </c>
      <c r="G2138">
        <v>95.7</v>
      </c>
      <c r="H2138">
        <v>120.5</v>
      </c>
      <c r="I2138">
        <v>123.8</v>
      </c>
      <c r="J2138">
        <v>100</v>
      </c>
      <c r="K2138">
        <v>100</v>
      </c>
      <c r="L2138" s="1" t="s">
        <v>5126</v>
      </c>
      <c r="M2138" t="s">
        <v>1240</v>
      </c>
      <c r="N2138">
        <v>2</v>
      </c>
    </row>
    <row r="2139" spans="1:14" x14ac:dyDescent="0.25">
      <c r="A2139" s="3" t="str">
        <f>HYPERLINK("http://www.ncbi.nlm.nih.gov/gene/3798","3798")</f>
        <v>3798</v>
      </c>
      <c r="B2139" s="1" t="s">
        <v>5128</v>
      </c>
      <c r="C2139" t="s">
        <v>5129</v>
      </c>
      <c r="D2139">
        <v>135.6</v>
      </c>
      <c r="E2139">
        <v>141.4</v>
      </c>
      <c r="F2139">
        <v>100</v>
      </c>
      <c r="G2139">
        <v>99.9</v>
      </c>
      <c r="H2139">
        <v>122.4</v>
      </c>
      <c r="I2139">
        <v>125.6</v>
      </c>
      <c r="J2139">
        <v>100</v>
      </c>
      <c r="K2139">
        <v>100</v>
      </c>
      <c r="L2139" s="1" t="s">
        <v>5128</v>
      </c>
      <c r="M2139" t="s">
        <v>5130</v>
      </c>
      <c r="N2139">
        <v>6</v>
      </c>
    </row>
    <row r="2140" spans="1:14" x14ac:dyDescent="0.25">
      <c r="A2140" s="3" t="str">
        <f>HYPERLINK("http://www.ncbi.nlm.nih.gov/gene/3800","3800")</f>
        <v>3800</v>
      </c>
      <c r="B2140" s="1" t="s">
        <v>5131</v>
      </c>
      <c r="C2140" t="s">
        <v>5132</v>
      </c>
      <c r="D2140">
        <v>119.4</v>
      </c>
      <c r="E2140">
        <v>123.5</v>
      </c>
      <c r="F2140">
        <v>99.9</v>
      </c>
      <c r="G2140">
        <v>98.8</v>
      </c>
      <c r="H2140">
        <v>169.2</v>
      </c>
      <c r="I2140">
        <v>174.2</v>
      </c>
      <c r="J2140">
        <v>99.8</v>
      </c>
      <c r="K2140">
        <v>99.8</v>
      </c>
      <c r="L2140" s="1" t="s">
        <v>5131</v>
      </c>
      <c r="M2140" t="s">
        <v>5133</v>
      </c>
      <c r="N2140">
        <v>3</v>
      </c>
    </row>
    <row r="2141" spans="1:14" x14ac:dyDescent="0.25">
      <c r="A2141" s="3" t="str">
        <f>HYPERLINK("http://www.ncbi.nlm.nih.gov/gene/374654","374654")</f>
        <v>374654</v>
      </c>
      <c r="B2141" s="1" t="s">
        <v>5134</v>
      </c>
      <c r="C2141" t="s">
        <v>5135</v>
      </c>
      <c r="D2141">
        <v>102.7</v>
      </c>
      <c r="E2141">
        <v>100</v>
      </c>
      <c r="F2141">
        <v>93.6</v>
      </c>
      <c r="G2141">
        <v>90.6</v>
      </c>
      <c r="H2141">
        <v>143.1</v>
      </c>
      <c r="I2141">
        <v>145.30000000000001</v>
      </c>
      <c r="J2141">
        <v>99.1</v>
      </c>
      <c r="K2141">
        <v>97.8</v>
      </c>
      <c r="L2141" s="1" t="s">
        <v>5134</v>
      </c>
      <c r="M2141" t="s">
        <v>2261</v>
      </c>
      <c r="N2141">
        <v>8</v>
      </c>
    </row>
    <row r="2142" spans="1:14" x14ac:dyDescent="0.25">
      <c r="A2142" s="3" t="str">
        <f>HYPERLINK("http://www.ncbi.nlm.nih.gov/gene/26128","26128")</f>
        <v>26128</v>
      </c>
      <c r="B2142" s="1" t="s">
        <v>5136</v>
      </c>
      <c r="C2142" t="s">
        <v>5137</v>
      </c>
      <c r="D2142">
        <v>174.6</v>
      </c>
      <c r="E2142">
        <v>176.1</v>
      </c>
      <c r="F2142">
        <v>96.1</v>
      </c>
      <c r="G2142">
        <v>96.1</v>
      </c>
      <c r="H2142">
        <v>137.4</v>
      </c>
      <c r="I2142">
        <v>139.5</v>
      </c>
      <c r="J2142">
        <v>96.1</v>
      </c>
      <c r="K2142">
        <v>96.1</v>
      </c>
      <c r="L2142" s="1" t="s">
        <v>5136</v>
      </c>
      <c r="M2142" t="s">
        <v>3718</v>
      </c>
      <c r="N2142">
        <v>4</v>
      </c>
    </row>
    <row r="2143" spans="1:14" x14ac:dyDescent="0.25">
      <c r="A2143" s="3" t="str">
        <f>HYPERLINK("http://www.ncbi.nlm.nih.gov/gene/55243","55243")</f>
        <v>55243</v>
      </c>
      <c r="B2143" s="1" t="s">
        <v>5138</v>
      </c>
      <c r="C2143" t="s">
        <v>5139</v>
      </c>
      <c r="D2143">
        <v>165.9</v>
      </c>
      <c r="E2143">
        <v>171.9</v>
      </c>
      <c r="F2143">
        <v>100</v>
      </c>
      <c r="G2143">
        <v>99.9</v>
      </c>
      <c r="H2143">
        <v>142.69999999999999</v>
      </c>
      <c r="I2143">
        <v>145.6</v>
      </c>
      <c r="J2143">
        <v>100</v>
      </c>
      <c r="K2143">
        <v>100</v>
      </c>
      <c r="L2143" s="1" t="s">
        <v>5138</v>
      </c>
      <c r="M2143" t="s">
        <v>998</v>
      </c>
      <c r="N2143">
        <v>2</v>
      </c>
    </row>
    <row r="2144" spans="1:14" x14ac:dyDescent="0.25">
      <c r="A2144" s="3" t="str">
        <f>HYPERLINK("http://www.ncbi.nlm.nih.gov/gene/84623","84623")</f>
        <v>84623</v>
      </c>
      <c r="B2144" s="1" t="s">
        <v>5140</v>
      </c>
      <c r="C2144" t="s">
        <v>5141</v>
      </c>
      <c r="D2144">
        <v>122.2</v>
      </c>
      <c r="E2144">
        <v>128.19999999999999</v>
      </c>
      <c r="F2144">
        <v>99.8</v>
      </c>
      <c r="G2144">
        <v>98.9</v>
      </c>
      <c r="H2144">
        <v>147.30000000000001</v>
      </c>
      <c r="I2144">
        <v>151.9</v>
      </c>
      <c r="J2144">
        <v>100</v>
      </c>
      <c r="K2144">
        <v>100</v>
      </c>
      <c r="L2144" s="1" t="s">
        <v>5140</v>
      </c>
      <c r="M2144" t="s">
        <v>189</v>
      </c>
      <c r="N2144">
        <v>2</v>
      </c>
    </row>
    <row r="2145" spans="1:14" x14ac:dyDescent="0.25">
      <c r="A2145" s="3" t="str">
        <f>HYPERLINK("http://www.ncbi.nlm.nih.gov/gene/3814","3814")</f>
        <v>3814</v>
      </c>
      <c r="B2145" s="1" t="s">
        <v>5142</v>
      </c>
      <c r="C2145" t="s">
        <v>5143</v>
      </c>
      <c r="D2145">
        <v>64.099999999999994</v>
      </c>
      <c r="E2145">
        <v>62.5</v>
      </c>
      <c r="F2145">
        <v>100</v>
      </c>
      <c r="G2145">
        <v>98.3</v>
      </c>
      <c r="H2145">
        <v>143.5</v>
      </c>
      <c r="I2145">
        <v>146.1</v>
      </c>
      <c r="J2145">
        <v>100</v>
      </c>
      <c r="K2145">
        <v>100</v>
      </c>
      <c r="L2145" s="1" t="s">
        <v>5142</v>
      </c>
      <c r="M2145" t="s">
        <v>274</v>
      </c>
      <c r="N2145">
        <v>3</v>
      </c>
    </row>
    <row r="2146" spans="1:14" x14ac:dyDescent="0.25">
      <c r="A2146" s="3" t="str">
        <f>HYPERLINK("http://www.ncbi.nlm.nih.gov/gene/84634","84634")</f>
        <v>84634</v>
      </c>
      <c r="B2146" s="1" t="s">
        <v>5144</v>
      </c>
      <c r="C2146" t="s">
        <v>5145</v>
      </c>
      <c r="D2146">
        <v>112.4</v>
      </c>
      <c r="E2146">
        <v>109.4</v>
      </c>
      <c r="F2146">
        <v>100</v>
      </c>
      <c r="G2146">
        <v>99.5</v>
      </c>
      <c r="H2146">
        <v>143.30000000000001</v>
      </c>
      <c r="I2146">
        <v>145.80000000000001</v>
      </c>
      <c r="J2146">
        <v>100</v>
      </c>
      <c r="K2146">
        <v>100</v>
      </c>
      <c r="L2146" s="1" t="s">
        <v>5144</v>
      </c>
      <c r="M2146" t="s">
        <v>5146</v>
      </c>
      <c r="N2146">
        <v>4</v>
      </c>
    </row>
    <row r="2147" spans="1:14" x14ac:dyDescent="0.25">
      <c r="A2147" s="3" t="str">
        <f>HYPERLINK("http://www.ncbi.nlm.nih.gov/gene/3815","3815")</f>
        <v>3815</v>
      </c>
      <c r="B2147" s="1" t="s">
        <v>5147</v>
      </c>
      <c r="C2147" t="s">
        <v>5148</v>
      </c>
      <c r="D2147">
        <v>159.9</v>
      </c>
      <c r="E2147">
        <v>163.19999999999999</v>
      </c>
      <c r="F2147">
        <v>100</v>
      </c>
      <c r="G2147">
        <v>99.6</v>
      </c>
      <c r="H2147">
        <v>141.9</v>
      </c>
      <c r="I2147">
        <v>146.4</v>
      </c>
      <c r="J2147">
        <v>100</v>
      </c>
      <c r="K2147">
        <v>100</v>
      </c>
      <c r="L2147" s="1" t="s">
        <v>5147</v>
      </c>
      <c r="M2147" t="s">
        <v>414</v>
      </c>
      <c r="N2147">
        <v>3</v>
      </c>
    </row>
    <row r="2148" spans="1:14" x14ac:dyDescent="0.25">
      <c r="A2148" s="3" t="str">
        <f>HYPERLINK("http://www.ncbi.nlm.nih.gov/gene/4254","4254")</f>
        <v>4254</v>
      </c>
      <c r="B2148" s="1" t="s">
        <v>5149</v>
      </c>
      <c r="C2148" t="s">
        <v>5150</v>
      </c>
      <c r="D2148">
        <v>100.1</v>
      </c>
      <c r="E2148">
        <v>101.9</v>
      </c>
      <c r="F2148">
        <v>100</v>
      </c>
      <c r="G2148">
        <v>98.5</v>
      </c>
      <c r="H2148">
        <v>120.8</v>
      </c>
      <c r="I2148">
        <v>123.7</v>
      </c>
      <c r="J2148">
        <v>100</v>
      </c>
      <c r="K2148">
        <v>100</v>
      </c>
      <c r="L2148" s="1" t="s">
        <v>5149</v>
      </c>
      <c r="M2148" t="s">
        <v>5151</v>
      </c>
      <c r="N2148">
        <v>3</v>
      </c>
    </row>
    <row r="2149" spans="1:14" x14ac:dyDescent="0.25">
      <c r="A2149" s="3" t="str">
        <f>HYPERLINK("http://www.ncbi.nlm.nih.gov/gene/55857","55857")</f>
        <v>55857</v>
      </c>
      <c r="B2149" s="1" t="s">
        <v>5152</v>
      </c>
      <c r="C2149" t="s">
        <v>5153</v>
      </c>
      <c r="D2149">
        <v>161</v>
      </c>
      <c r="E2149">
        <v>170.2</v>
      </c>
      <c r="F2149">
        <v>100</v>
      </c>
      <c r="G2149">
        <v>99.2</v>
      </c>
      <c r="H2149">
        <v>142</v>
      </c>
      <c r="I2149">
        <v>145.69999999999999</v>
      </c>
      <c r="J2149">
        <v>100</v>
      </c>
      <c r="K2149">
        <v>100</v>
      </c>
      <c r="L2149" s="1" t="s">
        <v>5152</v>
      </c>
      <c r="M2149" t="s">
        <v>56</v>
      </c>
      <c r="N2149">
        <v>3</v>
      </c>
    </row>
    <row r="2150" spans="1:14" x14ac:dyDescent="0.25">
      <c r="A2150" s="3" t="str">
        <f>HYPERLINK("http://www.ncbi.nlm.nih.gov/gene/9365","9365")</f>
        <v>9365</v>
      </c>
      <c r="B2150" s="1" t="s">
        <v>5154</v>
      </c>
      <c r="C2150" t="s">
        <v>5155</v>
      </c>
      <c r="D2150">
        <v>168.5</v>
      </c>
      <c r="E2150">
        <v>169.3</v>
      </c>
      <c r="F2150">
        <v>98.2</v>
      </c>
      <c r="G2150">
        <v>97.2</v>
      </c>
      <c r="H2150">
        <v>140.80000000000001</v>
      </c>
      <c r="I2150">
        <v>147.30000000000001</v>
      </c>
      <c r="J2150">
        <v>98.5</v>
      </c>
      <c r="K2150">
        <v>97.5</v>
      </c>
      <c r="L2150" s="1" t="s">
        <v>5154</v>
      </c>
      <c r="M2150" t="s">
        <v>5156</v>
      </c>
      <c r="N2150">
        <v>4</v>
      </c>
    </row>
    <row r="2151" spans="1:14" x14ac:dyDescent="0.25">
      <c r="A2151" s="3" t="str">
        <f>HYPERLINK("http://www.ncbi.nlm.nih.gov/gene/152831","152831")</f>
        <v>152831</v>
      </c>
      <c r="B2151" s="1" t="s">
        <v>5157</v>
      </c>
      <c r="C2151" t="s">
        <v>5158</v>
      </c>
      <c r="D2151">
        <v>223.5</v>
      </c>
      <c r="E2151">
        <v>225.5</v>
      </c>
      <c r="F2151">
        <v>100</v>
      </c>
      <c r="G2151">
        <v>99.9</v>
      </c>
      <c r="H2151">
        <v>158</v>
      </c>
      <c r="I2151">
        <v>158.9</v>
      </c>
      <c r="J2151">
        <v>100</v>
      </c>
      <c r="K2151">
        <v>100</v>
      </c>
      <c r="L2151" s="1" t="s">
        <v>5157</v>
      </c>
      <c r="M2151" t="s">
        <v>1011</v>
      </c>
      <c r="N2151">
        <v>3</v>
      </c>
    </row>
    <row r="2152" spans="1:14" x14ac:dyDescent="0.25">
      <c r="A2152" s="3" t="str">
        <f>HYPERLINK("http://www.ncbi.nlm.nih.gov/gene/64837","64837")</f>
        <v>64837</v>
      </c>
      <c r="B2152" s="1" t="s">
        <v>5159</v>
      </c>
      <c r="D2152">
        <v>125.3</v>
      </c>
      <c r="E2152">
        <v>129.19999999999999</v>
      </c>
      <c r="F2152">
        <v>99.2</v>
      </c>
      <c r="G2152">
        <v>97.9</v>
      </c>
      <c r="H2152">
        <v>131.1</v>
      </c>
      <c r="I2152">
        <v>134.30000000000001</v>
      </c>
      <c r="J2152">
        <v>100</v>
      </c>
      <c r="K2152">
        <v>100</v>
      </c>
      <c r="L2152" s="1" t="s">
        <v>5159</v>
      </c>
      <c r="M2152" t="s">
        <v>44</v>
      </c>
      <c r="N2152">
        <v>3</v>
      </c>
    </row>
    <row r="2153" spans="1:14" x14ac:dyDescent="0.25">
      <c r="A2153" s="3" t="str">
        <f>HYPERLINK("http://www.ncbi.nlm.nih.gov/gene/10661","10661")</f>
        <v>10661</v>
      </c>
      <c r="B2153" s="1" t="s">
        <v>5160</v>
      </c>
      <c r="C2153" t="s">
        <v>5161</v>
      </c>
      <c r="D2153">
        <v>100.4</v>
      </c>
      <c r="E2153">
        <v>87.9</v>
      </c>
      <c r="F2153">
        <v>100</v>
      </c>
      <c r="G2153">
        <v>97.8</v>
      </c>
      <c r="H2153">
        <v>146.19999999999999</v>
      </c>
      <c r="I2153">
        <v>146.80000000000001</v>
      </c>
      <c r="J2153">
        <v>100</v>
      </c>
      <c r="K2153">
        <v>100</v>
      </c>
      <c r="L2153" s="1" t="s">
        <v>5160</v>
      </c>
      <c r="M2153" t="s">
        <v>5162</v>
      </c>
      <c r="N2153">
        <v>3</v>
      </c>
    </row>
    <row r="2154" spans="1:14" x14ac:dyDescent="0.25">
      <c r="A2154" s="3" t="str">
        <f>HYPERLINK("http://www.ncbi.nlm.nih.gov/gene/7071","7071")</f>
        <v>7071</v>
      </c>
      <c r="B2154" s="1" t="s">
        <v>5163</v>
      </c>
      <c r="C2154" t="s">
        <v>5164</v>
      </c>
      <c r="D2154">
        <v>135.5</v>
      </c>
      <c r="E2154">
        <v>145</v>
      </c>
      <c r="F2154">
        <v>100</v>
      </c>
      <c r="G2154">
        <v>99.9</v>
      </c>
      <c r="H2154">
        <v>149.30000000000001</v>
      </c>
      <c r="I2154">
        <v>151.9</v>
      </c>
      <c r="J2154">
        <v>100</v>
      </c>
      <c r="K2154">
        <v>100</v>
      </c>
      <c r="L2154" s="1" t="s">
        <v>5163</v>
      </c>
      <c r="M2154" t="s">
        <v>5165</v>
      </c>
      <c r="N2154">
        <v>2</v>
      </c>
    </row>
    <row r="2155" spans="1:14" x14ac:dyDescent="0.25">
      <c r="A2155" s="3" t="str">
        <f>HYPERLINK("http://www.ncbi.nlm.nih.gov/gene/8462","8462")</f>
        <v>8462</v>
      </c>
      <c r="B2155" s="1" t="s">
        <v>5166</v>
      </c>
      <c r="C2155" t="s">
        <v>5167</v>
      </c>
      <c r="D2155">
        <v>194.7</v>
      </c>
      <c r="E2155">
        <v>202.6</v>
      </c>
      <c r="F2155">
        <v>100</v>
      </c>
      <c r="G2155">
        <v>99.4</v>
      </c>
      <c r="H2155">
        <v>158.19999999999999</v>
      </c>
      <c r="I2155">
        <v>161.30000000000001</v>
      </c>
      <c r="J2155">
        <v>100</v>
      </c>
      <c r="K2155">
        <v>100</v>
      </c>
      <c r="L2155" s="1" t="s">
        <v>5166</v>
      </c>
      <c r="M2155" t="s">
        <v>22</v>
      </c>
      <c r="N2155">
        <v>1</v>
      </c>
    </row>
    <row r="2156" spans="1:14" x14ac:dyDescent="0.25">
      <c r="A2156" s="3" t="str">
        <f>HYPERLINK("http://www.ncbi.nlm.nih.gov/gene/1316","1316")</f>
        <v>1316</v>
      </c>
      <c r="B2156" s="1" t="s">
        <v>5168</v>
      </c>
      <c r="C2156" t="s">
        <v>5169</v>
      </c>
      <c r="D2156">
        <v>185.5</v>
      </c>
      <c r="E2156">
        <v>154.4</v>
      </c>
      <c r="F2156">
        <v>100</v>
      </c>
      <c r="G2156">
        <v>100</v>
      </c>
      <c r="H2156">
        <v>135.19999999999999</v>
      </c>
      <c r="I2156">
        <v>135.80000000000001</v>
      </c>
      <c r="J2156">
        <v>100</v>
      </c>
      <c r="K2156">
        <v>100</v>
      </c>
      <c r="L2156" s="1" t="s">
        <v>5168</v>
      </c>
      <c r="M2156" t="s">
        <v>22</v>
      </c>
      <c r="N2156">
        <v>1</v>
      </c>
    </row>
    <row r="2157" spans="1:14" x14ac:dyDescent="0.25">
      <c r="A2157" s="3" t="str">
        <f>HYPERLINK("http://www.ncbi.nlm.nih.gov/gene/8609","8609")</f>
        <v>8609</v>
      </c>
      <c r="B2157" s="1" t="s">
        <v>5170</v>
      </c>
      <c r="C2157" t="s">
        <v>5171</v>
      </c>
      <c r="D2157">
        <v>132.30000000000001</v>
      </c>
      <c r="E2157">
        <v>137.9</v>
      </c>
      <c r="F2157">
        <v>100</v>
      </c>
      <c r="G2157">
        <v>99.7</v>
      </c>
      <c r="H2157">
        <v>164.2</v>
      </c>
      <c r="I2157">
        <v>166</v>
      </c>
      <c r="J2157">
        <v>100</v>
      </c>
      <c r="K2157">
        <v>100</v>
      </c>
      <c r="L2157" s="1" t="s">
        <v>5170</v>
      </c>
      <c r="M2157" t="s">
        <v>189</v>
      </c>
      <c r="N2157">
        <v>2</v>
      </c>
    </row>
    <row r="2158" spans="1:14" x14ac:dyDescent="0.25">
      <c r="A2158" s="3" t="str">
        <f>HYPERLINK("http://www.ncbi.nlm.nih.gov/gene/317719","317719")</f>
        <v>317719</v>
      </c>
      <c r="B2158" s="1" t="s">
        <v>5172</v>
      </c>
      <c r="C2158" t="s">
        <v>5173</v>
      </c>
      <c r="D2158">
        <v>166.9</v>
      </c>
      <c r="E2158">
        <v>170.8</v>
      </c>
      <c r="F2158">
        <v>100</v>
      </c>
      <c r="G2158">
        <v>100</v>
      </c>
      <c r="H2158">
        <v>142.5</v>
      </c>
      <c r="I2158">
        <v>144.30000000000001</v>
      </c>
      <c r="J2158">
        <v>100</v>
      </c>
      <c r="K2158">
        <v>100</v>
      </c>
      <c r="L2158" s="1" t="s">
        <v>5172</v>
      </c>
      <c r="M2158" t="s">
        <v>285</v>
      </c>
      <c r="N2158">
        <v>1</v>
      </c>
    </row>
    <row r="2159" spans="1:14" x14ac:dyDescent="0.25">
      <c r="A2159" s="3" t="str">
        <f>HYPERLINK("http://www.ncbi.nlm.nih.gov/gene/80311","80311")</f>
        <v>80311</v>
      </c>
      <c r="B2159" s="1" t="s">
        <v>5174</v>
      </c>
      <c r="C2159" t="s">
        <v>5175</v>
      </c>
      <c r="D2159">
        <v>179.1</v>
      </c>
      <c r="E2159">
        <v>173.9</v>
      </c>
      <c r="F2159">
        <v>100</v>
      </c>
      <c r="G2159">
        <v>99.7</v>
      </c>
      <c r="H2159">
        <v>151.80000000000001</v>
      </c>
      <c r="I2159">
        <v>153.4</v>
      </c>
      <c r="J2159">
        <v>100</v>
      </c>
      <c r="K2159">
        <v>100</v>
      </c>
      <c r="L2159" s="1" t="s">
        <v>5174</v>
      </c>
      <c r="M2159" t="s">
        <v>1240</v>
      </c>
      <c r="N2159">
        <v>2</v>
      </c>
    </row>
    <row r="2160" spans="1:14" x14ac:dyDescent="0.25">
      <c r="A2160" s="3" t="str">
        <f>HYPERLINK("http://www.ncbi.nlm.nih.gov/gene/54800","54800")</f>
        <v>54800</v>
      </c>
      <c r="B2160" s="1" t="s">
        <v>5176</v>
      </c>
      <c r="C2160" t="s">
        <v>5177</v>
      </c>
      <c r="D2160">
        <v>202.9</v>
      </c>
      <c r="E2160">
        <v>204.2</v>
      </c>
      <c r="F2160">
        <v>100</v>
      </c>
      <c r="G2160">
        <v>100</v>
      </c>
      <c r="H2160">
        <v>137.69999999999999</v>
      </c>
      <c r="I2160">
        <v>139.80000000000001</v>
      </c>
      <c r="J2160">
        <v>100</v>
      </c>
      <c r="K2160">
        <v>100</v>
      </c>
      <c r="L2160" s="1" t="s">
        <v>5176</v>
      </c>
      <c r="M2160" t="s">
        <v>5178</v>
      </c>
      <c r="N2160">
        <v>3</v>
      </c>
    </row>
    <row r="2161" spans="1:14" x14ac:dyDescent="0.25">
      <c r="A2161" s="3" t="str">
        <f>HYPERLINK("http://www.ncbi.nlm.nih.gov/gene/26249","26249")</f>
        <v>26249</v>
      </c>
      <c r="B2161" s="1" t="s">
        <v>5179</v>
      </c>
      <c r="C2161" t="s">
        <v>5180</v>
      </c>
      <c r="D2161">
        <v>126.8</v>
      </c>
      <c r="E2161">
        <v>131</v>
      </c>
      <c r="F2161">
        <v>100</v>
      </c>
      <c r="G2161">
        <v>99.3</v>
      </c>
      <c r="H2161">
        <v>138.6</v>
      </c>
      <c r="I2161">
        <v>142</v>
      </c>
      <c r="J2161">
        <v>100</v>
      </c>
      <c r="K2161">
        <v>100</v>
      </c>
      <c r="L2161" s="1" t="s">
        <v>5179</v>
      </c>
      <c r="M2161" t="s">
        <v>5181</v>
      </c>
      <c r="N2161">
        <v>3</v>
      </c>
    </row>
    <row r="2162" spans="1:14" x14ac:dyDescent="0.25">
      <c r="A2162" s="3" t="str">
        <f>HYPERLINK("http://www.ncbi.nlm.nih.gov/gene/131377","131377")</f>
        <v>131377</v>
      </c>
      <c r="B2162" s="1" t="s">
        <v>5182</v>
      </c>
      <c r="C2162" t="s">
        <v>5183</v>
      </c>
      <c r="D2162">
        <v>136.6</v>
      </c>
      <c r="E2162">
        <v>134.30000000000001</v>
      </c>
      <c r="F2162">
        <v>100</v>
      </c>
      <c r="G2162">
        <v>100</v>
      </c>
      <c r="H2162">
        <v>146.19999999999999</v>
      </c>
      <c r="I2162">
        <v>147.9</v>
      </c>
      <c r="J2162">
        <v>100</v>
      </c>
      <c r="K2162">
        <v>100</v>
      </c>
      <c r="L2162" s="1" t="s">
        <v>5182</v>
      </c>
      <c r="M2162" t="s">
        <v>5184</v>
      </c>
      <c r="N2162">
        <v>4</v>
      </c>
    </row>
    <row r="2163" spans="1:14" x14ac:dyDescent="0.25">
      <c r="A2163" s="3" t="str">
        <f>HYPERLINK("http://www.ncbi.nlm.nih.gov/gene/10324","10324")</f>
        <v>10324</v>
      </c>
      <c r="B2163" s="1" t="s">
        <v>5185</v>
      </c>
      <c r="C2163" t="s">
        <v>5186</v>
      </c>
      <c r="D2163">
        <v>221.6</v>
      </c>
      <c r="E2163">
        <v>218.5</v>
      </c>
      <c r="F2163">
        <v>100</v>
      </c>
      <c r="G2163">
        <v>99.9</v>
      </c>
      <c r="H2163">
        <v>142.1</v>
      </c>
      <c r="I2163">
        <v>143.80000000000001</v>
      </c>
      <c r="J2163">
        <v>100</v>
      </c>
      <c r="K2163">
        <v>100</v>
      </c>
      <c r="L2163" s="1" t="s">
        <v>5185</v>
      </c>
      <c r="M2163" t="s">
        <v>1147</v>
      </c>
      <c r="N2163">
        <v>4</v>
      </c>
    </row>
    <row r="2164" spans="1:14" x14ac:dyDescent="0.25">
      <c r="A2164" s="3" t="str">
        <f>HYPERLINK("http://www.ncbi.nlm.nih.gov/gene/55975","55975")</f>
        <v>55975</v>
      </c>
      <c r="B2164" s="1" t="s">
        <v>5187</v>
      </c>
      <c r="C2164" t="s">
        <v>5188</v>
      </c>
      <c r="D2164">
        <v>130.9</v>
      </c>
      <c r="E2164">
        <v>137.30000000000001</v>
      </c>
      <c r="F2164">
        <v>99.9</v>
      </c>
      <c r="G2164">
        <v>99.8</v>
      </c>
      <c r="H2164">
        <v>133.4</v>
      </c>
      <c r="I2164">
        <v>137.6</v>
      </c>
      <c r="J2164">
        <v>100</v>
      </c>
      <c r="K2164">
        <v>100</v>
      </c>
      <c r="L2164" s="1" t="s">
        <v>5187</v>
      </c>
      <c r="M2164" t="s">
        <v>5189</v>
      </c>
      <c r="N2164">
        <v>3</v>
      </c>
    </row>
    <row r="2165" spans="1:14" x14ac:dyDescent="0.25">
      <c r="A2165" s="3" t="str">
        <f>HYPERLINK("http://www.ncbi.nlm.nih.gov/gene/55958","55958")</f>
        <v>55958</v>
      </c>
      <c r="B2165" s="1" t="s">
        <v>5190</v>
      </c>
      <c r="D2165">
        <v>230.8</v>
      </c>
      <c r="E2165">
        <v>222.5</v>
      </c>
      <c r="F2165">
        <v>100</v>
      </c>
      <c r="G2165">
        <v>100</v>
      </c>
      <c r="H2165">
        <v>165.8</v>
      </c>
      <c r="I2165">
        <v>166</v>
      </c>
      <c r="J2165">
        <v>100</v>
      </c>
      <c r="K2165">
        <v>100</v>
      </c>
      <c r="L2165" s="1" t="s">
        <v>5190</v>
      </c>
      <c r="M2165" t="s">
        <v>1435</v>
      </c>
      <c r="N2165">
        <v>2</v>
      </c>
    </row>
    <row r="2166" spans="1:14" x14ac:dyDescent="0.25">
      <c r="A2166" s="3" t="str">
        <f>HYPERLINK("http://www.ncbi.nlm.nih.gov/gene/9622","9622")</f>
        <v>9622</v>
      </c>
      <c r="B2166" s="1" t="s">
        <v>5191</v>
      </c>
      <c r="C2166" t="s">
        <v>5192</v>
      </c>
      <c r="D2166">
        <v>169.5</v>
      </c>
      <c r="E2166">
        <v>182</v>
      </c>
      <c r="F2166">
        <v>100</v>
      </c>
      <c r="G2166">
        <v>100</v>
      </c>
      <c r="H2166">
        <v>137.30000000000001</v>
      </c>
      <c r="I2166">
        <v>140.5</v>
      </c>
      <c r="J2166">
        <v>100</v>
      </c>
      <c r="K2166">
        <v>100</v>
      </c>
      <c r="L2166" s="1" t="s">
        <v>5191</v>
      </c>
      <c r="M2166" t="s">
        <v>4879</v>
      </c>
      <c r="N2166">
        <v>4</v>
      </c>
    </row>
    <row r="2167" spans="1:14" x14ac:dyDescent="0.25">
      <c r="A2167" s="3" t="str">
        <f>HYPERLINK("http://www.ncbi.nlm.nih.gov/gene/3818","3818")</f>
        <v>3818</v>
      </c>
      <c r="B2167" s="1" t="s">
        <v>5193</v>
      </c>
      <c r="C2167" t="s">
        <v>5194</v>
      </c>
      <c r="D2167">
        <v>151.6</v>
      </c>
      <c r="E2167">
        <v>157.5</v>
      </c>
      <c r="F2167">
        <v>100</v>
      </c>
      <c r="G2167">
        <v>99.5</v>
      </c>
      <c r="H2167">
        <v>138.5</v>
      </c>
      <c r="I2167">
        <v>142.9</v>
      </c>
      <c r="J2167">
        <v>100</v>
      </c>
      <c r="K2167">
        <v>100</v>
      </c>
      <c r="L2167" s="1" t="s">
        <v>5193</v>
      </c>
      <c r="M2167" t="s">
        <v>606</v>
      </c>
      <c r="N2167">
        <v>3</v>
      </c>
    </row>
    <row r="2168" spans="1:14" x14ac:dyDescent="0.25">
      <c r="A2168" s="3" t="str">
        <f>HYPERLINK("http://www.ncbi.nlm.nih.gov/gene/100144748","100144748")</f>
        <v>100144748</v>
      </c>
      <c r="B2168" s="1" t="s">
        <v>5195</v>
      </c>
      <c r="C2168" t="s">
        <v>5196</v>
      </c>
      <c r="D2168">
        <v>150.30000000000001</v>
      </c>
      <c r="E2168">
        <v>122.3</v>
      </c>
      <c r="F2168">
        <v>100</v>
      </c>
      <c r="G2168">
        <v>100</v>
      </c>
      <c r="H2168">
        <v>179.4</v>
      </c>
      <c r="I2168">
        <v>186.7</v>
      </c>
      <c r="J2168">
        <v>100</v>
      </c>
      <c r="K2168">
        <v>100</v>
      </c>
      <c r="L2168" s="1" t="s">
        <v>5195</v>
      </c>
      <c r="M2168" t="s">
        <v>5197</v>
      </c>
      <c r="N2168">
        <v>2</v>
      </c>
    </row>
    <row r="2169" spans="1:14" x14ac:dyDescent="0.25">
      <c r="A2169" s="3" t="str">
        <f>HYPERLINK("http://www.ncbi.nlm.nih.gov/gene/4297","4297")</f>
        <v>4297</v>
      </c>
      <c r="B2169" s="1" t="s">
        <v>5198</v>
      </c>
      <c r="C2169" t="s">
        <v>5199</v>
      </c>
      <c r="D2169">
        <v>165.5</v>
      </c>
      <c r="E2169">
        <v>154.80000000000001</v>
      </c>
      <c r="F2169">
        <v>100</v>
      </c>
      <c r="G2169">
        <v>99.9</v>
      </c>
      <c r="H2169">
        <v>136.30000000000001</v>
      </c>
      <c r="I2169">
        <v>136.9</v>
      </c>
      <c r="J2169">
        <v>99.9</v>
      </c>
      <c r="K2169">
        <v>99.4</v>
      </c>
      <c r="L2169" s="1" t="s">
        <v>5198</v>
      </c>
      <c r="M2169" t="s">
        <v>5200</v>
      </c>
      <c r="N2169">
        <v>4</v>
      </c>
    </row>
    <row r="2170" spans="1:14" x14ac:dyDescent="0.25">
      <c r="A2170" s="3" t="str">
        <f>HYPERLINK("http://www.ncbi.nlm.nih.gov/gene/9757","9757")</f>
        <v>9757</v>
      </c>
      <c r="B2170" s="1" t="s">
        <v>5201</v>
      </c>
      <c r="C2170" t="s">
        <v>5202</v>
      </c>
      <c r="D2170">
        <v>147.19999999999999</v>
      </c>
      <c r="E2170">
        <v>146.9</v>
      </c>
      <c r="F2170">
        <v>95.8</v>
      </c>
      <c r="G2170">
        <v>94</v>
      </c>
      <c r="H2170">
        <v>146</v>
      </c>
      <c r="I2170">
        <v>146</v>
      </c>
      <c r="J2170">
        <v>98.7</v>
      </c>
      <c r="K2170">
        <v>97.9</v>
      </c>
      <c r="L2170" s="1" t="s">
        <v>5201</v>
      </c>
      <c r="M2170" t="s">
        <v>5203</v>
      </c>
      <c r="N2170">
        <v>4</v>
      </c>
    </row>
    <row r="2171" spans="1:14" x14ac:dyDescent="0.25">
      <c r="A2171" s="3" t="str">
        <f>HYPERLINK("http://www.ncbi.nlm.nih.gov/gene/58508","58508")</f>
        <v>58508</v>
      </c>
      <c r="B2171" s="1" t="s">
        <v>5204</v>
      </c>
      <c r="C2171" t="s">
        <v>5205</v>
      </c>
      <c r="D2171">
        <v>174.4</v>
      </c>
      <c r="E2171">
        <v>167.6</v>
      </c>
      <c r="F2171">
        <v>92.2</v>
      </c>
      <c r="G2171">
        <v>91</v>
      </c>
      <c r="H2171">
        <v>163.19999999999999</v>
      </c>
      <c r="I2171">
        <v>162</v>
      </c>
      <c r="J2171">
        <v>100</v>
      </c>
      <c r="K2171">
        <v>100</v>
      </c>
      <c r="L2171" s="1" t="s">
        <v>5204</v>
      </c>
      <c r="M2171" t="s">
        <v>189</v>
      </c>
      <c r="N2171">
        <v>2</v>
      </c>
    </row>
    <row r="2172" spans="1:14" x14ac:dyDescent="0.25">
      <c r="A2172" s="3" t="str">
        <f>HYPERLINK("http://www.ncbi.nlm.nih.gov/gene/8085","8085")</f>
        <v>8085</v>
      </c>
      <c r="B2172" s="1" t="s">
        <v>5206</v>
      </c>
      <c r="C2172" t="s">
        <v>5207</v>
      </c>
      <c r="D2172">
        <v>144.80000000000001</v>
      </c>
      <c r="E2172">
        <v>142.1</v>
      </c>
      <c r="F2172">
        <v>100</v>
      </c>
      <c r="G2172">
        <v>99.4</v>
      </c>
      <c r="H2172">
        <v>156.9</v>
      </c>
      <c r="I2172">
        <v>156.69999999999999</v>
      </c>
      <c r="J2172">
        <v>100</v>
      </c>
      <c r="K2172">
        <v>100</v>
      </c>
      <c r="L2172" s="1" t="s">
        <v>5206</v>
      </c>
      <c r="M2172" t="s">
        <v>5208</v>
      </c>
      <c r="N2172">
        <v>10</v>
      </c>
    </row>
    <row r="2173" spans="1:14" x14ac:dyDescent="0.25">
      <c r="A2173" s="3" t="str">
        <f>HYPERLINK("http://www.ncbi.nlm.nih.gov/gene/55904","55904")</f>
        <v>55904</v>
      </c>
      <c r="B2173" s="1" t="s">
        <v>5209</v>
      </c>
      <c r="C2173" t="s">
        <v>5210</v>
      </c>
      <c r="D2173">
        <v>182.5</v>
      </c>
      <c r="E2173">
        <v>189.3</v>
      </c>
      <c r="F2173">
        <v>99.8</v>
      </c>
      <c r="G2173">
        <v>98.5</v>
      </c>
      <c r="H2173">
        <v>137.9</v>
      </c>
      <c r="I2173">
        <v>142</v>
      </c>
      <c r="J2173">
        <v>100</v>
      </c>
      <c r="K2173">
        <v>100</v>
      </c>
      <c r="L2173" s="1" t="s">
        <v>5209</v>
      </c>
      <c r="M2173" t="s">
        <v>189</v>
      </c>
      <c r="N2173">
        <v>2</v>
      </c>
    </row>
    <row r="2174" spans="1:14" x14ac:dyDescent="0.25">
      <c r="A2174" s="3" t="str">
        <f>HYPERLINK("http://www.ncbi.nlm.nih.gov/gene/51111","51111")</f>
        <v>51111</v>
      </c>
      <c r="B2174" s="1" t="s">
        <v>5211</v>
      </c>
      <c r="C2174" t="s">
        <v>5212</v>
      </c>
      <c r="D2174">
        <v>203.1</v>
      </c>
      <c r="E2174">
        <v>201.9</v>
      </c>
      <c r="F2174">
        <v>99.9</v>
      </c>
      <c r="G2174">
        <v>99.1</v>
      </c>
      <c r="H2174">
        <v>146.80000000000001</v>
      </c>
      <c r="I2174">
        <v>148</v>
      </c>
      <c r="J2174">
        <v>100</v>
      </c>
      <c r="K2174">
        <v>100</v>
      </c>
      <c r="L2174" s="1" t="s">
        <v>5211</v>
      </c>
      <c r="M2174" t="s">
        <v>995</v>
      </c>
      <c r="N2174">
        <v>3</v>
      </c>
    </row>
    <row r="2175" spans="1:14" x14ac:dyDescent="0.25">
      <c r="A2175" s="3" t="str">
        <f>HYPERLINK("http://www.ncbi.nlm.nih.gov/gene/3827","3827")</f>
        <v>3827</v>
      </c>
      <c r="B2175" s="1" t="s">
        <v>5213</v>
      </c>
      <c r="C2175" t="s">
        <v>5214</v>
      </c>
      <c r="D2175">
        <v>177.7</v>
      </c>
      <c r="E2175">
        <v>167.1</v>
      </c>
      <c r="F2175">
        <v>100</v>
      </c>
      <c r="G2175">
        <v>100</v>
      </c>
      <c r="H2175">
        <v>131.5</v>
      </c>
      <c r="I2175">
        <v>134.1</v>
      </c>
      <c r="J2175">
        <v>100</v>
      </c>
      <c r="K2175">
        <v>100</v>
      </c>
      <c r="L2175" s="1" t="s">
        <v>5213</v>
      </c>
      <c r="M2175" t="s">
        <v>1563</v>
      </c>
      <c r="N2175">
        <v>2</v>
      </c>
    </row>
    <row r="2176" spans="1:14" x14ac:dyDescent="0.25">
      <c r="A2176" s="3" t="str">
        <f>HYPERLINK("http://www.ncbi.nlm.nih.gov/gene/57082","57082")</f>
        <v>57082</v>
      </c>
      <c r="B2176" s="1" t="s">
        <v>5215</v>
      </c>
      <c r="C2176" t="s">
        <v>5216</v>
      </c>
      <c r="D2176">
        <v>132.6</v>
      </c>
      <c r="E2176">
        <v>121</v>
      </c>
      <c r="F2176">
        <v>99.2</v>
      </c>
      <c r="G2176">
        <v>98.1</v>
      </c>
      <c r="H2176">
        <v>120.2</v>
      </c>
      <c r="I2176">
        <v>119.4</v>
      </c>
      <c r="J2176">
        <v>98.9</v>
      </c>
      <c r="K2176">
        <v>98.8</v>
      </c>
      <c r="L2176" s="1" t="s">
        <v>5215</v>
      </c>
      <c r="M2176" t="s">
        <v>228</v>
      </c>
      <c r="N2176">
        <v>3</v>
      </c>
    </row>
    <row r="2177" spans="1:14" x14ac:dyDescent="0.25">
      <c r="A2177" s="3" t="str">
        <f>HYPERLINK("http://www.ncbi.nlm.nih.gov/gene/11133","11133")</f>
        <v>11133</v>
      </c>
      <c r="B2177" s="1" t="s">
        <v>5217</v>
      </c>
      <c r="C2177" t="s">
        <v>5218</v>
      </c>
      <c r="D2177">
        <v>141.69999999999999</v>
      </c>
      <c r="E2177">
        <v>143.1</v>
      </c>
      <c r="F2177">
        <v>100</v>
      </c>
      <c r="G2177">
        <v>100</v>
      </c>
      <c r="H2177">
        <v>140</v>
      </c>
      <c r="I2177">
        <v>143.30000000000001</v>
      </c>
      <c r="J2177">
        <v>100</v>
      </c>
      <c r="K2177">
        <v>100</v>
      </c>
      <c r="L2177" s="1" t="s">
        <v>5217</v>
      </c>
      <c r="M2177" t="s">
        <v>1220</v>
      </c>
      <c r="N2177">
        <v>4</v>
      </c>
    </row>
    <row r="2178" spans="1:14" x14ac:dyDescent="0.25">
      <c r="A2178" s="3" t="str">
        <f>HYPERLINK("http://www.ncbi.nlm.nih.gov/gene/3845","3845")</f>
        <v>3845</v>
      </c>
      <c r="B2178" s="1" t="s">
        <v>5219</v>
      </c>
      <c r="C2178" t="s">
        <v>5220</v>
      </c>
      <c r="D2178">
        <v>81.099999999999994</v>
      </c>
      <c r="E2178">
        <v>84.3</v>
      </c>
      <c r="F2178">
        <v>99.5</v>
      </c>
      <c r="G2178">
        <v>96.9</v>
      </c>
      <c r="H2178">
        <v>132.1</v>
      </c>
      <c r="I2178">
        <v>135.80000000000001</v>
      </c>
      <c r="J2178">
        <v>100</v>
      </c>
      <c r="K2178">
        <v>100</v>
      </c>
      <c r="L2178" s="1" t="s">
        <v>5219</v>
      </c>
      <c r="M2178" t="s">
        <v>5221</v>
      </c>
      <c r="N2178">
        <v>12</v>
      </c>
    </row>
    <row r="2179" spans="1:14" x14ac:dyDescent="0.25">
      <c r="A2179" s="3" t="str">
        <f>HYPERLINK("http://www.ncbi.nlm.nih.gov/gene/83999","83999")</f>
        <v>83999</v>
      </c>
      <c r="B2179" s="1" t="s">
        <v>5222</v>
      </c>
      <c r="C2179" t="s">
        <v>5223</v>
      </c>
      <c r="D2179">
        <v>158.80000000000001</v>
      </c>
      <c r="E2179">
        <v>162.30000000000001</v>
      </c>
      <c r="F2179">
        <v>97.7</v>
      </c>
      <c r="G2179">
        <v>94.4</v>
      </c>
      <c r="H2179">
        <v>132.30000000000001</v>
      </c>
      <c r="I2179">
        <v>136.4</v>
      </c>
      <c r="J2179">
        <v>99.5</v>
      </c>
      <c r="K2179">
        <v>97.9</v>
      </c>
      <c r="L2179" s="1" t="s">
        <v>5222</v>
      </c>
      <c r="M2179" t="s">
        <v>158</v>
      </c>
      <c r="N2179">
        <v>2</v>
      </c>
    </row>
    <row r="2180" spans="1:14" x14ac:dyDescent="0.25">
      <c r="A2180" s="3" t="str">
        <f>HYPERLINK("http://www.ncbi.nlm.nih.gov/gene/889","889")</f>
        <v>889</v>
      </c>
      <c r="B2180" s="1" t="s">
        <v>5224</v>
      </c>
      <c r="C2180" t="s">
        <v>5225</v>
      </c>
      <c r="D2180">
        <v>114.5</v>
      </c>
      <c r="E2180">
        <v>119.1</v>
      </c>
      <c r="F2180">
        <v>100</v>
      </c>
      <c r="G2180">
        <v>99.3</v>
      </c>
      <c r="H2180">
        <v>129.30000000000001</v>
      </c>
      <c r="I2180">
        <v>133.30000000000001</v>
      </c>
      <c r="J2180">
        <v>100</v>
      </c>
      <c r="K2180">
        <v>100</v>
      </c>
      <c r="L2180" s="1" t="s">
        <v>5224</v>
      </c>
      <c r="M2180" t="s">
        <v>285</v>
      </c>
      <c r="N2180">
        <v>1</v>
      </c>
    </row>
    <row r="2181" spans="1:14" x14ac:dyDescent="0.25">
      <c r="A2181" s="3" t="str">
        <f>HYPERLINK("http://www.ncbi.nlm.nih.gov/gene/3848","3848")</f>
        <v>3848</v>
      </c>
      <c r="B2181" s="1" t="s">
        <v>5226</v>
      </c>
      <c r="C2181" t="s">
        <v>5227</v>
      </c>
      <c r="D2181">
        <v>105</v>
      </c>
      <c r="E2181">
        <v>110.4</v>
      </c>
      <c r="F2181">
        <v>98.7</v>
      </c>
      <c r="G2181">
        <v>95.6</v>
      </c>
      <c r="H2181">
        <v>187.1</v>
      </c>
      <c r="I2181">
        <v>193.4</v>
      </c>
      <c r="J2181">
        <v>100</v>
      </c>
      <c r="K2181">
        <v>100</v>
      </c>
      <c r="L2181" s="1" t="s">
        <v>5226</v>
      </c>
      <c r="M2181" t="s">
        <v>5228</v>
      </c>
      <c r="N2181">
        <v>2</v>
      </c>
    </row>
    <row r="2182" spans="1:14" x14ac:dyDescent="0.25">
      <c r="A2182" s="3" t="str">
        <f>HYPERLINK("http://www.ncbi.nlm.nih.gov/gene/3858","3858")</f>
        <v>3858</v>
      </c>
      <c r="B2182" s="1" t="s">
        <v>5229</v>
      </c>
      <c r="C2182" t="s">
        <v>5230</v>
      </c>
      <c r="D2182">
        <v>154.80000000000001</v>
      </c>
      <c r="E2182">
        <v>129.9</v>
      </c>
      <c r="F2182">
        <v>100</v>
      </c>
      <c r="G2182">
        <v>99.3</v>
      </c>
      <c r="H2182">
        <v>173</v>
      </c>
      <c r="I2182">
        <v>175.1</v>
      </c>
      <c r="J2182">
        <v>100</v>
      </c>
      <c r="K2182">
        <v>100</v>
      </c>
      <c r="L2182" s="1" t="s">
        <v>5229</v>
      </c>
      <c r="M2182" t="s">
        <v>4876</v>
      </c>
      <c r="N2182">
        <v>3</v>
      </c>
    </row>
    <row r="2183" spans="1:14" x14ac:dyDescent="0.25">
      <c r="A2183" s="3" t="str">
        <f>HYPERLINK("http://www.ncbi.nlm.nih.gov/gene/3859","3859")</f>
        <v>3859</v>
      </c>
      <c r="B2183" s="1" t="s">
        <v>5231</v>
      </c>
      <c r="C2183" t="s">
        <v>5232</v>
      </c>
      <c r="D2183">
        <v>165.3</v>
      </c>
      <c r="E2183">
        <v>167</v>
      </c>
      <c r="F2183">
        <v>99.7</v>
      </c>
      <c r="G2183">
        <v>97.8</v>
      </c>
      <c r="H2183">
        <v>203.9</v>
      </c>
      <c r="I2183">
        <v>207.6</v>
      </c>
      <c r="J2183">
        <v>100</v>
      </c>
      <c r="K2183">
        <v>100</v>
      </c>
      <c r="L2183" s="1" t="s">
        <v>5231</v>
      </c>
      <c r="M2183" t="s">
        <v>302</v>
      </c>
      <c r="N2183">
        <v>2</v>
      </c>
    </row>
    <row r="2184" spans="1:14" x14ac:dyDescent="0.25">
      <c r="A2184" s="3" t="str">
        <f>HYPERLINK("http://www.ncbi.nlm.nih.gov/gene/3860","3860")</f>
        <v>3860</v>
      </c>
      <c r="B2184" s="1" t="s">
        <v>5233</v>
      </c>
      <c r="C2184" t="s">
        <v>5234</v>
      </c>
      <c r="D2184">
        <v>144.30000000000001</v>
      </c>
      <c r="E2184">
        <v>147.6</v>
      </c>
      <c r="F2184">
        <v>100</v>
      </c>
      <c r="G2184">
        <v>100</v>
      </c>
      <c r="H2184">
        <v>191.2</v>
      </c>
      <c r="I2184">
        <v>198.2</v>
      </c>
      <c r="J2184">
        <v>100</v>
      </c>
      <c r="K2184">
        <v>100</v>
      </c>
      <c r="L2184" s="1" t="s">
        <v>5233</v>
      </c>
      <c r="M2184" t="s">
        <v>29</v>
      </c>
      <c r="N2184">
        <v>2</v>
      </c>
    </row>
    <row r="2185" spans="1:14" x14ac:dyDescent="0.25">
      <c r="A2185" s="3" t="str">
        <f>HYPERLINK("http://www.ncbi.nlm.nih.gov/gene/3861","3861")</f>
        <v>3861</v>
      </c>
      <c r="B2185" s="1" t="s">
        <v>5235</v>
      </c>
      <c r="C2185" t="s">
        <v>5236</v>
      </c>
      <c r="D2185">
        <v>47</v>
      </c>
      <c r="E2185">
        <v>46</v>
      </c>
      <c r="F2185">
        <v>89</v>
      </c>
      <c r="G2185">
        <v>81.900000000000006</v>
      </c>
      <c r="H2185">
        <v>199.1</v>
      </c>
      <c r="I2185">
        <v>202.3</v>
      </c>
      <c r="J2185">
        <v>100</v>
      </c>
      <c r="K2185">
        <v>100</v>
      </c>
      <c r="L2185" s="1" t="s">
        <v>5235</v>
      </c>
      <c r="M2185" t="s">
        <v>4876</v>
      </c>
      <c r="N2185">
        <v>3</v>
      </c>
    </row>
    <row r="2186" spans="1:14" x14ac:dyDescent="0.25">
      <c r="A2186" s="3" t="str">
        <f>HYPERLINK("http://www.ncbi.nlm.nih.gov/gene/3868","3868")</f>
        <v>3868</v>
      </c>
      <c r="B2186" s="1" t="s">
        <v>5237</v>
      </c>
      <c r="C2186" t="s">
        <v>5238</v>
      </c>
      <c r="D2186">
        <v>35.9</v>
      </c>
      <c r="E2186">
        <v>36.5</v>
      </c>
      <c r="F2186">
        <v>74.2</v>
      </c>
      <c r="G2186">
        <v>56.5</v>
      </c>
      <c r="H2186">
        <v>190</v>
      </c>
      <c r="I2186">
        <v>194.4</v>
      </c>
      <c r="J2186">
        <v>100</v>
      </c>
      <c r="K2186">
        <v>100</v>
      </c>
      <c r="L2186" s="1" t="s">
        <v>5237</v>
      </c>
      <c r="M2186" t="s">
        <v>29</v>
      </c>
      <c r="N2186">
        <v>2</v>
      </c>
    </row>
    <row r="2187" spans="1:14" x14ac:dyDescent="0.25">
      <c r="A2187" s="3" t="str">
        <f>HYPERLINK("http://www.ncbi.nlm.nih.gov/gene/3872","3872")</f>
        <v>3872</v>
      </c>
      <c r="B2187" s="1" t="s">
        <v>5239</v>
      </c>
      <c r="C2187" t="s">
        <v>5240</v>
      </c>
      <c r="D2187">
        <v>17</v>
      </c>
      <c r="E2187">
        <v>16.600000000000001</v>
      </c>
      <c r="F2187">
        <v>39.799999999999997</v>
      </c>
      <c r="G2187">
        <v>22.8</v>
      </c>
      <c r="H2187">
        <v>175.6</v>
      </c>
      <c r="I2187">
        <v>177.7</v>
      </c>
      <c r="J2187">
        <v>100</v>
      </c>
      <c r="K2187">
        <v>100</v>
      </c>
      <c r="L2187" s="1" t="s">
        <v>5239</v>
      </c>
      <c r="M2187" t="s">
        <v>29</v>
      </c>
      <c r="N2187">
        <v>2</v>
      </c>
    </row>
    <row r="2188" spans="1:14" x14ac:dyDescent="0.25">
      <c r="A2188" s="3" t="str">
        <f>HYPERLINK("http://www.ncbi.nlm.nih.gov/gene/3875","3875")</f>
        <v>3875</v>
      </c>
      <c r="B2188" s="1" t="s">
        <v>5241</v>
      </c>
      <c r="C2188" t="s">
        <v>5242</v>
      </c>
      <c r="D2188">
        <v>46.7</v>
      </c>
      <c r="E2188">
        <v>38.799999999999997</v>
      </c>
      <c r="F2188">
        <v>86.7</v>
      </c>
      <c r="G2188">
        <v>70.900000000000006</v>
      </c>
      <c r="H2188">
        <v>124.5</v>
      </c>
      <c r="I2188">
        <v>128.1</v>
      </c>
      <c r="J2188">
        <v>100</v>
      </c>
      <c r="K2188">
        <v>100</v>
      </c>
      <c r="L2188" s="1" t="s">
        <v>5241</v>
      </c>
      <c r="M2188" t="s">
        <v>53</v>
      </c>
      <c r="N2188">
        <v>2</v>
      </c>
    </row>
    <row r="2189" spans="1:14" x14ac:dyDescent="0.25">
      <c r="A2189" s="3" t="str">
        <f>HYPERLINK("http://www.ncbi.nlm.nih.gov/gene/3849","3849")</f>
        <v>3849</v>
      </c>
      <c r="B2189" s="1" t="s">
        <v>5243</v>
      </c>
      <c r="C2189" t="s">
        <v>5244</v>
      </c>
      <c r="D2189">
        <v>137</v>
      </c>
      <c r="E2189">
        <v>139</v>
      </c>
      <c r="F2189">
        <v>100</v>
      </c>
      <c r="G2189">
        <v>99.8</v>
      </c>
      <c r="H2189">
        <v>172.1</v>
      </c>
      <c r="I2189">
        <v>174.6</v>
      </c>
      <c r="J2189">
        <v>100</v>
      </c>
      <c r="K2189">
        <v>100</v>
      </c>
      <c r="L2189" s="1" t="s">
        <v>5243</v>
      </c>
      <c r="M2189" t="s">
        <v>29</v>
      </c>
      <c r="N2189">
        <v>2</v>
      </c>
    </row>
    <row r="2190" spans="1:14" x14ac:dyDescent="0.25">
      <c r="A2190" s="3" t="str">
        <f>HYPERLINK("http://www.ncbi.nlm.nih.gov/gene/147183","147183")</f>
        <v>147183</v>
      </c>
      <c r="B2190" s="1" t="s">
        <v>5245</v>
      </c>
      <c r="C2190" t="s">
        <v>5246</v>
      </c>
      <c r="D2190">
        <v>147.9</v>
      </c>
      <c r="E2190">
        <v>149.4</v>
      </c>
      <c r="F2190">
        <v>100</v>
      </c>
      <c r="G2190">
        <v>100</v>
      </c>
      <c r="H2190">
        <v>165.9</v>
      </c>
      <c r="I2190">
        <v>169.2</v>
      </c>
      <c r="J2190">
        <v>100</v>
      </c>
      <c r="K2190">
        <v>100</v>
      </c>
      <c r="L2190" s="1" t="s">
        <v>5245</v>
      </c>
      <c r="M2190" t="s">
        <v>59</v>
      </c>
      <c r="N2190">
        <v>1</v>
      </c>
    </row>
    <row r="2191" spans="1:14" x14ac:dyDescent="0.25">
      <c r="A2191" s="3" t="str">
        <f>HYPERLINK("http://www.ncbi.nlm.nih.gov/gene/3850","3850")</f>
        <v>3850</v>
      </c>
      <c r="B2191" s="1" t="s">
        <v>5247</v>
      </c>
      <c r="C2191" t="s">
        <v>5248</v>
      </c>
      <c r="D2191">
        <v>120.8</v>
      </c>
      <c r="E2191">
        <v>129</v>
      </c>
      <c r="F2191">
        <v>100</v>
      </c>
      <c r="G2191">
        <v>100</v>
      </c>
      <c r="H2191">
        <v>201.3</v>
      </c>
      <c r="I2191">
        <v>205.5</v>
      </c>
      <c r="J2191">
        <v>100</v>
      </c>
      <c r="K2191">
        <v>100</v>
      </c>
      <c r="L2191" s="1" t="s">
        <v>5247</v>
      </c>
      <c r="M2191" t="s">
        <v>302</v>
      </c>
      <c r="N2191">
        <v>2</v>
      </c>
    </row>
    <row r="2192" spans="1:14" x14ac:dyDescent="0.25">
      <c r="A2192" s="3" t="str">
        <f>HYPERLINK("http://www.ncbi.nlm.nih.gov/gene/3851","3851")</f>
        <v>3851</v>
      </c>
      <c r="B2192" s="1" t="s">
        <v>5249</v>
      </c>
      <c r="C2192" t="s">
        <v>5250</v>
      </c>
      <c r="D2192">
        <v>151.30000000000001</v>
      </c>
      <c r="E2192">
        <v>150.6</v>
      </c>
      <c r="F2192">
        <v>100</v>
      </c>
      <c r="G2192">
        <v>99.7</v>
      </c>
      <c r="H2192">
        <v>162.1</v>
      </c>
      <c r="I2192">
        <v>164.1</v>
      </c>
      <c r="J2192">
        <v>100</v>
      </c>
      <c r="K2192">
        <v>100</v>
      </c>
      <c r="L2192" s="1" t="s">
        <v>5249</v>
      </c>
      <c r="M2192" t="s">
        <v>29</v>
      </c>
      <c r="N2192">
        <v>2</v>
      </c>
    </row>
    <row r="2193" spans="1:14" x14ac:dyDescent="0.25">
      <c r="A2193" s="3" t="str">
        <f>HYPERLINK("http://www.ncbi.nlm.nih.gov/gene/3852","3852")</f>
        <v>3852</v>
      </c>
      <c r="B2193" s="1" t="s">
        <v>5251</v>
      </c>
      <c r="C2193" t="s">
        <v>5252</v>
      </c>
      <c r="D2193">
        <v>135.4</v>
      </c>
      <c r="E2193">
        <v>130.9</v>
      </c>
      <c r="F2193">
        <v>100</v>
      </c>
      <c r="G2193">
        <v>100</v>
      </c>
      <c r="H2193">
        <v>194</v>
      </c>
      <c r="I2193">
        <v>199</v>
      </c>
      <c r="J2193">
        <v>100</v>
      </c>
      <c r="K2193">
        <v>100</v>
      </c>
      <c r="L2193" s="1" t="s">
        <v>5251</v>
      </c>
      <c r="M2193" t="s">
        <v>5253</v>
      </c>
      <c r="N2193">
        <v>3</v>
      </c>
    </row>
    <row r="2194" spans="1:14" x14ac:dyDescent="0.25">
      <c r="A2194" s="3" t="str">
        <f>HYPERLINK("http://www.ncbi.nlm.nih.gov/gene/3853","3853")</f>
        <v>3853</v>
      </c>
      <c r="B2194" s="1" t="s">
        <v>5254</v>
      </c>
      <c r="C2194" t="s">
        <v>5255</v>
      </c>
      <c r="D2194">
        <v>134.4</v>
      </c>
      <c r="E2194">
        <v>132.5</v>
      </c>
      <c r="F2194">
        <v>92.3</v>
      </c>
      <c r="G2194">
        <v>87.7</v>
      </c>
      <c r="H2194">
        <v>241.4</v>
      </c>
      <c r="I2194">
        <v>247.3</v>
      </c>
      <c r="J2194">
        <v>100</v>
      </c>
      <c r="K2194">
        <v>100</v>
      </c>
      <c r="L2194" s="1" t="s">
        <v>5254</v>
      </c>
      <c r="M2194" t="s">
        <v>5197</v>
      </c>
      <c r="N2194">
        <v>2</v>
      </c>
    </row>
    <row r="2195" spans="1:14" x14ac:dyDescent="0.25">
      <c r="A2195" s="3" t="str">
        <f>HYPERLINK("http://www.ncbi.nlm.nih.gov/gene/3854","3854")</f>
        <v>3854</v>
      </c>
      <c r="B2195" s="1" t="s">
        <v>5256</v>
      </c>
      <c r="C2195" t="s">
        <v>5257</v>
      </c>
      <c r="D2195">
        <v>123</v>
      </c>
      <c r="E2195">
        <v>121.3</v>
      </c>
      <c r="F2195">
        <v>93.6</v>
      </c>
      <c r="G2195">
        <v>88.6</v>
      </c>
      <c r="H2195">
        <v>265.39999999999998</v>
      </c>
      <c r="I2195">
        <v>269.3</v>
      </c>
      <c r="J2195">
        <v>100</v>
      </c>
      <c r="K2195">
        <v>100</v>
      </c>
      <c r="L2195" s="1" t="s">
        <v>5256</v>
      </c>
      <c r="M2195" t="s">
        <v>5197</v>
      </c>
      <c r="N2195">
        <v>2</v>
      </c>
    </row>
    <row r="2196" spans="1:14" x14ac:dyDescent="0.25">
      <c r="A2196" s="3" t="str">
        <f>HYPERLINK("http://www.ncbi.nlm.nih.gov/gene/286887","286887")</f>
        <v>286887</v>
      </c>
      <c r="B2196" s="1" t="s">
        <v>5258</v>
      </c>
      <c r="C2196" t="s">
        <v>5259</v>
      </c>
      <c r="D2196">
        <v>117.7</v>
      </c>
      <c r="E2196">
        <v>115.5</v>
      </c>
      <c r="F2196">
        <v>88.3</v>
      </c>
      <c r="G2196">
        <v>81.3</v>
      </c>
      <c r="H2196">
        <v>211.4</v>
      </c>
      <c r="I2196">
        <v>219.8</v>
      </c>
      <c r="J2196">
        <v>99.9</v>
      </c>
      <c r="K2196">
        <v>99.8</v>
      </c>
      <c r="L2196" s="1" t="s">
        <v>5258</v>
      </c>
      <c r="M2196" t="s">
        <v>29</v>
      </c>
      <c r="N2196">
        <v>2</v>
      </c>
    </row>
    <row r="2197" spans="1:14" x14ac:dyDescent="0.25">
      <c r="A2197" s="3" t="str">
        <f>HYPERLINK("http://www.ncbi.nlm.nih.gov/gene/112802","112802")</f>
        <v>112802</v>
      </c>
      <c r="B2197" s="1" t="s">
        <v>5260</v>
      </c>
      <c r="C2197" t="s">
        <v>5261</v>
      </c>
      <c r="D2197">
        <v>135</v>
      </c>
      <c r="E2197">
        <v>139.80000000000001</v>
      </c>
      <c r="F2197">
        <v>100</v>
      </c>
      <c r="G2197">
        <v>100</v>
      </c>
      <c r="H2197">
        <v>183.4</v>
      </c>
      <c r="I2197">
        <v>190.5</v>
      </c>
      <c r="J2197">
        <v>100</v>
      </c>
      <c r="K2197">
        <v>100</v>
      </c>
      <c r="L2197" s="1" t="s">
        <v>5260</v>
      </c>
      <c r="M2197" t="s">
        <v>29</v>
      </c>
      <c r="N2197">
        <v>2</v>
      </c>
    </row>
    <row r="2198" spans="1:14" x14ac:dyDescent="0.25">
      <c r="A2198" s="3" t="str">
        <f>HYPERLINK("http://www.ncbi.nlm.nih.gov/gene/121391","121391")</f>
        <v>121391</v>
      </c>
      <c r="B2198" s="1" t="s">
        <v>5262</v>
      </c>
      <c r="C2198" t="s">
        <v>5263</v>
      </c>
      <c r="D2198">
        <v>158</v>
      </c>
      <c r="E2198">
        <v>153.1</v>
      </c>
      <c r="F2198">
        <v>100</v>
      </c>
      <c r="G2198">
        <v>100</v>
      </c>
      <c r="H2198">
        <v>183.6</v>
      </c>
      <c r="I2198">
        <v>188.9</v>
      </c>
      <c r="J2198">
        <v>100</v>
      </c>
      <c r="K2198">
        <v>100</v>
      </c>
      <c r="L2198" s="1" t="s">
        <v>5262</v>
      </c>
      <c r="M2198" t="s">
        <v>2917</v>
      </c>
      <c r="N2198">
        <v>2</v>
      </c>
    </row>
    <row r="2199" spans="1:14" x14ac:dyDescent="0.25">
      <c r="A2199" s="3" t="str">
        <f>HYPERLINK("http://www.ncbi.nlm.nih.gov/gene/9119","9119")</f>
        <v>9119</v>
      </c>
      <c r="B2199" s="1" t="s">
        <v>5264</v>
      </c>
      <c r="C2199" t="s">
        <v>5265</v>
      </c>
      <c r="D2199">
        <v>126.5</v>
      </c>
      <c r="E2199">
        <v>125.8</v>
      </c>
      <c r="F2199">
        <v>100</v>
      </c>
      <c r="G2199">
        <v>100</v>
      </c>
      <c r="H2199">
        <v>180.4</v>
      </c>
      <c r="I2199">
        <v>185.5</v>
      </c>
      <c r="J2199">
        <v>100</v>
      </c>
      <c r="K2199">
        <v>100</v>
      </c>
      <c r="L2199" s="1" t="s">
        <v>5264</v>
      </c>
      <c r="M2199" t="s">
        <v>29</v>
      </c>
      <c r="N2199">
        <v>2</v>
      </c>
    </row>
    <row r="2200" spans="1:14" x14ac:dyDescent="0.25">
      <c r="A2200" s="3" t="str">
        <f>HYPERLINK("http://www.ncbi.nlm.nih.gov/gene/3856","3856")</f>
        <v>3856</v>
      </c>
      <c r="B2200" s="1" t="s">
        <v>5266</v>
      </c>
      <c r="C2200" t="s">
        <v>5267</v>
      </c>
      <c r="D2200">
        <v>40.299999999999997</v>
      </c>
      <c r="E2200">
        <v>38.9</v>
      </c>
      <c r="F2200">
        <v>90.6</v>
      </c>
      <c r="G2200">
        <v>69.599999999999994</v>
      </c>
      <c r="H2200">
        <v>157.69999999999999</v>
      </c>
      <c r="I2200">
        <v>162</v>
      </c>
      <c r="J2200">
        <v>100</v>
      </c>
      <c r="K2200">
        <v>100</v>
      </c>
      <c r="L2200" s="1" t="s">
        <v>5266</v>
      </c>
      <c r="M2200" t="s">
        <v>53</v>
      </c>
      <c r="N2200">
        <v>2</v>
      </c>
    </row>
    <row r="2201" spans="1:14" x14ac:dyDescent="0.25">
      <c r="A2201" s="3" t="str">
        <f>HYPERLINK("http://www.ncbi.nlm.nih.gov/gene/3887","3887")</f>
        <v>3887</v>
      </c>
      <c r="B2201" s="1" t="s">
        <v>5268</v>
      </c>
      <c r="C2201" t="s">
        <v>5269</v>
      </c>
      <c r="D2201">
        <v>88.9</v>
      </c>
      <c r="E2201">
        <v>87.2</v>
      </c>
      <c r="F2201">
        <v>99.2</v>
      </c>
      <c r="G2201">
        <v>94.2</v>
      </c>
      <c r="H2201">
        <v>206.2</v>
      </c>
      <c r="I2201">
        <v>212.2</v>
      </c>
      <c r="J2201">
        <v>100</v>
      </c>
      <c r="K2201">
        <v>100</v>
      </c>
      <c r="L2201" s="1" t="s">
        <v>5268</v>
      </c>
      <c r="M2201" t="s">
        <v>29</v>
      </c>
      <c r="N2201">
        <v>2</v>
      </c>
    </row>
    <row r="2202" spans="1:14" x14ac:dyDescent="0.25">
      <c r="A2202" s="3" t="str">
        <f>HYPERLINK("http://www.ncbi.nlm.nih.gov/gene/3889","3889")</f>
        <v>3889</v>
      </c>
      <c r="B2202" s="1" t="s">
        <v>5270</v>
      </c>
      <c r="C2202" t="s">
        <v>5271</v>
      </c>
      <c r="D2202">
        <v>72.5</v>
      </c>
      <c r="E2202">
        <v>61.2</v>
      </c>
      <c r="F2202">
        <v>96.6</v>
      </c>
      <c r="G2202">
        <v>84.4</v>
      </c>
      <c r="H2202">
        <v>204</v>
      </c>
      <c r="I2202">
        <v>208.6</v>
      </c>
      <c r="J2202">
        <v>100</v>
      </c>
      <c r="K2202">
        <v>100</v>
      </c>
      <c r="L2202" s="1" t="s">
        <v>5270</v>
      </c>
      <c r="M2202" t="s">
        <v>5228</v>
      </c>
      <c r="N2202">
        <v>2</v>
      </c>
    </row>
    <row r="2203" spans="1:14" x14ac:dyDescent="0.25">
      <c r="A2203" s="3" t="str">
        <f>HYPERLINK("http://www.ncbi.nlm.nih.gov/gene/3891","3891")</f>
        <v>3891</v>
      </c>
      <c r="B2203" s="1" t="s">
        <v>5272</v>
      </c>
      <c r="C2203" t="s">
        <v>5273</v>
      </c>
      <c r="D2203">
        <v>92.6</v>
      </c>
      <c r="E2203">
        <v>90</v>
      </c>
      <c r="F2203">
        <v>99</v>
      </c>
      <c r="G2203">
        <v>93.6</v>
      </c>
      <c r="H2203">
        <v>177.2</v>
      </c>
      <c r="I2203">
        <v>179.3</v>
      </c>
      <c r="J2203">
        <v>100</v>
      </c>
      <c r="K2203">
        <v>100</v>
      </c>
      <c r="L2203" s="1" t="s">
        <v>5272</v>
      </c>
      <c r="M2203" t="s">
        <v>246</v>
      </c>
      <c r="N2203">
        <v>3</v>
      </c>
    </row>
    <row r="2204" spans="1:14" x14ac:dyDescent="0.25">
      <c r="A2204" s="3" t="str">
        <f>HYPERLINK("http://www.ncbi.nlm.nih.gov/gene/3892","3892")</f>
        <v>3892</v>
      </c>
      <c r="B2204" s="1" t="s">
        <v>5274</v>
      </c>
      <c r="C2204" t="s">
        <v>5275</v>
      </c>
      <c r="D2204">
        <v>80.7</v>
      </c>
      <c r="E2204">
        <v>76.2</v>
      </c>
      <c r="F2204">
        <v>99.7</v>
      </c>
      <c r="G2204">
        <v>96.3</v>
      </c>
      <c r="H2204">
        <v>217</v>
      </c>
      <c r="I2204">
        <v>222.8</v>
      </c>
      <c r="J2204">
        <v>100</v>
      </c>
      <c r="K2204">
        <v>100</v>
      </c>
      <c r="L2204" s="1" t="s">
        <v>5274</v>
      </c>
      <c r="M2204" t="s">
        <v>29</v>
      </c>
      <c r="N2204">
        <v>2</v>
      </c>
    </row>
    <row r="2205" spans="1:14" x14ac:dyDescent="0.25">
      <c r="A2205" s="3" t="str">
        <f>HYPERLINK("http://www.ncbi.nlm.nih.gov/gene/3857","3857")</f>
        <v>3857</v>
      </c>
      <c r="B2205" s="1" t="s">
        <v>5276</v>
      </c>
      <c r="C2205" t="s">
        <v>5277</v>
      </c>
      <c r="D2205">
        <v>60</v>
      </c>
      <c r="E2205">
        <v>60.5</v>
      </c>
      <c r="F2205">
        <v>99.2</v>
      </c>
      <c r="G2205">
        <v>95</v>
      </c>
      <c r="H2205">
        <v>179.1</v>
      </c>
      <c r="I2205">
        <v>186.5</v>
      </c>
      <c r="J2205">
        <v>100</v>
      </c>
      <c r="K2205">
        <v>100</v>
      </c>
      <c r="L2205" s="1" t="s">
        <v>5276</v>
      </c>
      <c r="M2205" t="s">
        <v>29</v>
      </c>
      <c r="N2205">
        <v>2</v>
      </c>
    </row>
    <row r="2206" spans="1:14" x14ac:dyDescent="0.25">
      <c r="A2206" s="3" t="str">
        <f>HYPERLINK("http://www.ncbi.nlm.nih.gov/gene/339855","339855")</f>
        <v>339855</v>
      </c>
      <c r="B2206" s="1" t="s">
        <v>5278</v>
      </c>
      <c r="C2206" t="s">
        <v>5279</v>
      </c>
      <c r="D2206">
        <v>117.5</v>
      </c>
      <c r="E2206">
        <v>113.2</v>
      </c>
      <c r="F2206">
        <v>100</v>
      </c>
      <c r="G2206">
        <v>99.7</v>
      </c>
      <c r="H2206">
        <v>146.19999999999999</v>
      </c>
      <c r="I2206">
        <v>150</v>
      </c>
      <c r="J2206">
        <v>100</v>
      </c>
      <c r="K2206">
        <v>100</v>
      </c>
      <c r="L2206" s="1" t="s">
        <v>5278</v>
      </c>
      <c r="M2206" t="s">
        <v>53</v>
      </c>
      <c r="N2206">
        <v>2</v>
      </c>
    </row>
    <row r="2207" spans="1:14" x14ac:dyDescent="0.25">
      <c r="A2207" s="3" t="str">
        <f>HYPERLINK("http://www.ncbi.nlm.nih.gov/gene/8942","8942")</f>
        <v>8942</v>
      </c>
      <c r="B2207" s="1" t="s">
        <v>5280</v>
      </c>
      <c r="C2207" t="s">
        <v>5281</v>
      </c>
      <c r="D2207">
        <v>127.9</v>
      </c>
      <c r="E2207">
        <v>131.5</v>
      </c>
      <c r="F2207">
        <v>99.6</v>
      </c>
      <c r="G2207">
        <v>97.1</v>
      </c>
      <c r="H2207">
        <v>129</v>
      </c>
      <c r="I2207">
        <v>132.5</v>
      </c>
      <c r="J2207">
        <v>100</v>
      </c>
      <c r="K2207">
        <v>100</v>
      </c>
      <c r="L2207" s="1" t="s">
        <v>5280</v>
      </c>
      <c r="M2207" t="s">
        <v>53</v>
      </c>
      <c r="N2207">
        <v>2</v>
      </c>
    </row>
    <row r="2208" spans="1:14" x14ac:dyDescent="0.25">
      <c r="A2208" s="3" t="str">
        <f>HYPERLINK("http://www.ncbi.nlm.nih.gov/gene/3897","3897")</f>
        <v>3897</v>
      </c>
      <c r="B2208" s="1" t="s">
        <v>5282</v>
      </c>
      <c r="C2208" t="s">
        <v>5283</v>
      </c>
      <c r="D2208">
        <v>131.19999999999999</v>
      </c>
      <c r="E2208">
        <v>134.80000000000001</v>
      </c>
      <c r="F2208">
        <v>99.9</v>
      </c>
      <c r="G2208">
        <v>99.1</v>
      </c>
      <c r="H2208">
        <v>139.4</v>
      </c>
      <c r="I2208">
        <v>142.9</v>
      </c>
      <c r="J2208">
        <v>100</v>
      </c>
      <c r="K2208">
        <v>100</v>
      </c>
      <c r="L2208" s="1" t="s">
        <v>5282</v>
      </c>
      <c r="M2208" t="s">
        <v>5284</v>
      </c>
      <c r="N2208">
        <v>3</v>
      </c>
    </row>
    <row r="2209" spans="1:14" x14ac:dyDescent="0.25">
      <c r="A2209" s="3" t="str">
        <f>HYPERLINK("http://www.ncbi.nlm.nih.gov/gene/79944","79944")</f>
        <v>79944</v>
      </c>
      <c r="B2209" s="1" t="s">
        <v>5285</v>
      </c>
      <c r="C2209" t="s">
        <v>5286</v>
      </c>
      <c r="D2209">
        <v>140</v>
      </c>
      <c r="E2209">
        <v>145.19999999999999</v>
      </c>
      <c r="F2209">
        <v>99</v>
      </c>
      <c r="G2209">
        <v>97.2</v>
      </c>
      <c r="H2209">
        <v>143.6</v>
      </c>
      <c r="I2209">
        <v>148.30000000000001</v>
      </c>
      <c r="J2209">
        <v>100</v>
      </c>
      <c r="K2209">
        <v>100</v>
      </c>
      <c r="L2209" s="1" t="s">
        <v>5285</v>
      </c>
      <c r="M2209" t="s">
        <v>38</v>
      </c>
      <c r="N2209">
        <v>4</v>
      </c>
    </row>
    <row r="2210" spans="1:14" x14ac:dyDescent="0.25">
      <c r="A2210" s="3" t="str">
        <f>HYPERLINK("http://www.ncbi.nlm.nih.gov/gene/144811","144811")</f>
        <v>144811</v>
      </c>
      <c r="B2210" s="1" t="s">
        <v>5287</v>
      </c>
      <c r="C2210" t="s">
        <v>5288</v>
      </c>
      <c r="D2210">
        <v>183.3</v>
      </c>
      <c r="E2210">
        <v>174.2</v>
      </c>
      <c r="F2210">
        <v>100</v>
      </c>
      <c r="G2210">
        <v>99.4</v>
      </c>
      <c r="H2210">
        <v>136.1</v>
      </c>
      <c r="I2210">
        <v>139.80000000000001</v>
      </c>
      <c r="J2210">
        <v>100</v>
      </c>
      <c r="K2210">
        <v>100</v>
      </c>
      <c r="L2210" s="1" t="s">
        <v>5287</v>
      </c>
      <c r="M2210" t="s">
        <v>502</v>
      </c>
      <c r="N2210">
        <v>2</v>
      </c>
    </row>
    <row r="2211" spans="1:14" x14ac:dyDescent="0.25">
      <c r="A2211" s="3" t="str">
        <f>HYPERLINK("http://www.ncbi.nlm.nih.gov/gene/114294","114294")</f>
        <v>114294</v>
      </c>
      <c r="B2211" s="1" t="s">
        <v>5289</v>
      </c>
      <c r="C2211" t="s">
        <v>5290</v>
      </c>
      <c r="D2211">
        <v>127</v>
      </c>
      <c r="E2211">
        <v>128.19999999999999</v>
      </c>
      <c r="F2211">
        <v>99.5</v>
      </c>
      <c r="G2211">
        <v>92.6</v>
      </c>
      <c r="H2211">
        <v>118.8</v>
      </c>
      <c r="I2211">
        <v>120.6</v>
      </c>
      <c r="J2211">
        <v>100</v>
      </c>
      <c r="K2211">
        <v>100</v>
      </c>
      <c r="L2211" s="1" t="s">
        <v>5289</v>
      </c>
      <c r="M2211" t="s">
        <v>265</v>
      </c>
      <c r="N2211">
        <v>2</v>
      </c>
    </row>
    <row r="2212" spans="1:14" x14ac:dyDescent="0.25">
      <c r="A2212" s="3" t="str">
        <f>HYPERLINK("http://www.ncbi.nlm.nih.gov/gene/8270","8270")</f>
        <v>8270</v>
      </c>
      <c r="B2212" s="1" t="s">
        <v>5291</v>
      </c>
      <c r="C2212" t="s">
        <v>5292</v>
      </c>
      <c r="D2212">
        <v>64</v>
      </c>
      <c r="E2212">
        <v>64.5</v>
      </c>
      <c r="F2212">
        <v>95.9</v>
      </c>
      <c r="G2212">
        <v>85.1</v>
      </c>
      <c r="H2212">
        <v>131.1</v>
      </c>
      <c r="I2212">
        <v>135.30000000000001</v>
      </c>
      <c r="J2212">
        <v>100</v>
      </c>
      <c r="K2212">
        <v>100</v>
      </c>
      <c r="L2212" s="1" t="s">
        <v>5291</v>
      </c>
      <c r="M2212" t="s">
        <v>5293</v>
      </c>
      <c r="N2212">
        <v>2</v>
      </c>
    </row>
    <row r="2213" spans="1:14" x14ac:dyDescent="0.25">
      <c r="A2213" s="3" t="str">
        <f>HYPERLINK("http://www.ncbi.nlm.nih.gov/gene/284217","284217")</f>
        <v>284217</v>
      </c>
      <c r="B2213" s="1" t="s">
        <v>5294</v>
      </c>
      <c r="C2213" t="s">
        <v>5295</v>
      </c>
      <c r="D2213">
        <v>135.69999999999999</v>
      </c>
      <c r="E2213">
        <v>142</v>
      </c>
      <c r="F2213">
        <v>100</v>
      </c>
      <c r="G2213">
        <v>99.7</v>
      </c>
      <c r="H2213">
        <v>144.9</v>
      </c>
      <c r="I2213">
        <v>149</v>
      </c>
      <c r="J2213">
        <v>100</v>
      </c>
      <c r="K2213">
        <v>100</v>
      </c>
      <c r="L2213" s="1" t="s">
        <v>5294</v>
      </c>
      <c r="M2213" t="s">
        <v>5296</v>
      </c>
      <c r="N2213">
        <v>5</v>
      </c>
    </row>
    <row r="2214" spans="1:14" x14ac:dyDescent="0.25">
      <c r="A2214" s="3" t="str">
        <f>HYPERLINK("http://www.ncbi.nlm.nih.gov/gene/3908","3908")</f>
        <v>3908</v>
      </c>
      <c r="B2214" s="1" t="s">
        <v>5297</v>
      </c>
      <c r="C2214" t="s">
        <v>5298</v>
      </c>
      <c r="D2214">
        <v>150.19999999999999</v>
      </c>
      <c r="E2214">
        <v>155.80000000000001</v>
      </c>
      <c r="F2214">
        <v>100</v>
      </c>
      <c r="G2214">
        <v>99.6</v>
      </c>
      <c r="H2214">
        <v>135</v>
      </c>
      <c r="I2214">
        <v>139.19999999999999</v>
      </c>
      <c r="J2214">
        <v>100</v>
      </c>
      <c r="K2214">
        <v>100</v>
      </c>
      <c r="L2214" s="1" t="s">
        <v>5297</v>
      </c>
      <c r="M2214" t="s">
        <v>5299</v>
      </c>
      <c r="N2214">
        <v>6</v>
      </c>
    </row>
    <row r="2215" spans="1:14" x14ac:dyDescent="0.25">
      <c r="A2215" s="3" t="str">
        <f>HYPERLINK("http://www.ncbi.nlm.nih.gov/gene/3909","3909")</f>
        <v>3909</v>
      </c>
      <c r="B2215" s="1" t="s">
        <v>5300</v>
      </c>
      <c r="C2215" t="s">
        <v>5301</v>
      </c>
      <c r="D2215">
        <v>142.9</v>
      </c>
      <c r="E2215">
        <v>147.30000000000001</v>
      </c>
      <c r="F2215">
        <v>100</v>
      </c>
      <c r="G2215">
        <v>99.7</v>
      </c>
      <c r="H2215">
        <v>133.4</v>
      </c>
      <c r="I2215">
        <v>137.30000000000001</v>
      </c>
      <c r="J2215">
        <v>100</v>
      </c>
      <c r="K2215">
        <v>100</v>
      </c>
      <c r="L2215" s="1" t="s">
        <v>5300</v>
      </c>
      <c r="M2215" t="s">
        <v>246</v>
      </c>
      <c r="N2215">
        <v>3</v>
      </c>
    </row>
    <row r="2216" spans="1:14" x14ac:dyDescent="0.25">
      <c r="A2216" s="3" t="str">
        <f>HYPERLINK("http://www.ncbi.nlm.nih.gov/gene/3910","3910")</f>
        <v>3910</v>
      </c>
      <c r="B2216" s="1" t="s">
        <v>5302</v>
      </c>
      <c r="C2216" t="s">
        <v>5303</v>
      </c>
      <c r="D2216">
        <v>141.19999999999999</v>
      </c>
      <c r="E2216">
        <v>146.1</v>
      </c>
      <c r="F2216">
        <v>100</v>
      </c>
      <c r="G2216">
        <v>99.9</v>
      </c>
      <c r="H2216">
        <v>141</v>
      </c>
      <c r="I2216">
        <v>145.19999999999999</v>
      </c>
      <c r="J2216">
        <v>100</v>
      </c>
      <c r="K2216">
        <v>100</v>
      </c>
      <c r="L2216" s="1" t="s">
        <v>5302</v>
      </c>
      <c r="M2216" t="s">
        <v>197</v>
      </c>
      <c r="N2216">
        <v>2</v>
      </c>
    </row>
    <row r="2217" spans="1:14" x14ac:dyDescent="0.25">
      <c r="A2217" s="3" t="str">
        <f>HYPERLINK("http://www.ncbi.nlm.nih.gov/gene/3912","3912")</f>
        <v>3912</v>
      </c>
      <c r="B2217" s="1" t="s">
        <v>5304</v>
      </c>
      <c r="C2217" t="s">
        <v>5305</v>
      </c>
      <c r="D2217">
        <v>165.1</v>
      </c>
      <c r="E2217">
        <v>171.8</v>
      </c>
      <c r="F2217">
        <v>100</v>
      </c>
      <c r="G2217">
        <v>99.9</v>
      </c>
      <c r="H2217">
        <v>144.1</v>
      </c>
      <c r="I2217">
        <v>148.30000000000001</v>
      </c>
      <c r="J2217">
        <v>100</v>
      </c>
      <c r="K2217">
        <v>100</v>
      </c>
      <c r="L2217" s="1" t="s">
        <v>5304</v>
      </c>
      <c r="M2217" t="s">
        <v>548</v>
      </c>
      <c r="N2217">
        <v>5</v>
      </c>
    </row>
    <row r="2218" spans="1:14" x14ac:dyDescent="0.25">
      <c r="A2218" s="3" t="str">
        <f>HYPERLINK("http://www.ncbi.nlm.nih.gov/gene/3913","3913")</f>
        <v>3913</v>
      </c>
      <c r="B2218" s="1" t="s">
        <v>5306</v>
      </c>
      <c r="C2218" t="s">
        <v>5307</v>
      </c>
      <c r="D2218">
        <v>169.6</v>
      </c>
      <c r="E2218">
        <v>171.7</v>
      </c>
      <c r="F2218">
        <v>100</v>
      </c>
      <c r="G2218">
        <v>99.7</v>
      </c>
      <c r="H2218">
        <v>153.19999999999999</v>
      </c>
      <c r="I2218">
        <v>157.19999999999999</v>
      </c>
      <c r="J2218">
        <v>100</v>
      </c>
      <c r="K2218">
        <v>100</v>
      </c>
      <c r="L2218" s="1" t="s">
        <v>5306</v>
      </c>
      <c r="M2218" t="s">
        <v>5308</v>
      </c>
      <c r="N2218">
        <v>4</v>
      </c>
    </row>
    <row r="2219" spans="1:14" x14ac:dyDescent="0.25">
      <c r="A2219" s="3" t="str">
        <f>HYPERLINK("http://www.ncbi.nlm.nih.gov/gene/3914","3914")</f>
        <v>3914</v>
      </c>
      <c r="B2219" s="1" t="s">
        <v>5309</v>
      </c>
      <c r="C2219" t="s">
        <v>5310</v>
      </c>
      <c r="D2219">
        <v>118.9</v>
      </c>
      <c r="E2219">
        <v>124.1</v>
      </c>
      <c r="F2219">
        <v>100</v>
      </c>
      <c r="G2219">
        <v>99.6</v>
      </c>
      <c r="H2219">
        <v>153.80000000000001</v>
      </c>
      <c r="I2219">
        <v>158.4</v>
      </c>
      <c r="J2219">
        <v>100</v>
      </c>
      <c r="K2219">
        <v>100</v>
      </c>
      <c r="L2219" s="1" t="s">
        <v>5309</v>
      </c>
      <c r="M2219" t="s">
        <v>5311</v>
      </c>
      <c r="N2219">
        <v>4</v>
      </c>
    </row>
    <row r="2220" spans="1:14" x14ac:dyDescent="0.25">
      <c r="A2220" s="3" t="str">
        <f>HYPERLINK("http://www.ncbi.nlm.nih.gov/gene/3918","3918")</f>
        <v>3918</v>
      </c>
      <c r="B2220" s="1" t="s">
        <v>5312</v>
      </c>
      <c r="C2220" t="s">
        <v>5313</v>
      </c>
      <c r="D2220">
        <v>108.8</v>
      </c>
      <c r="E2220">
        <v>114.1</v>
      </c>
      <c r="F2220">
        <v>99.8</v>
      </c>
      <c r="G2220">
        <v>98</v>
      </c>
      <c r="H2220">
        <v>131.1</v>
      </c>
      <c r="I2220">
        <v>135.30000000000001</v>
      </c>
      <c r="J2220">
        <v>100</v>
      </c>
      <c r="K2220">
        <v>100</v>
      </c>
      <c r="L2220" s="1" t="s">
        <v>5312</v>
      </c>
      <c r="M2220" t="s">
        <v>246</v>
      </c>
      <c r="N2220">
        <v>3</v>
      </c>
    </row>
    <row r="2221" spans="1:14" x14ac:dyDescent="0.25">
      <c r="A2221" s="3" t="str">
        <f>HYPERLINK("http://www.ncbi.nlm.nih.gov/gene/10319","10319")</f>
        <v>10319</v>
      </c>
      <c r="B2221" s="1" t="s">
        <v>5314</v>
      </c>
      <c r="C2221" t="s">
        <v>5315</v>
      </c>
      <c r="D2221">
        <v>145</v>
      </c>
      <c r="E2221">
        <v>151.4</v>
      </c>
      <c r="F2221">
        <v>98.6</v>
      </c>
      <c r="G2221">
        <v>97.1</v>
      </c>
      <c r="H2221">
        <v>134.30000000000001</v>
      </c>
      <c r="I2221">
        <v>138.80000000000001</v>
      </c>
      <c r="J2221">
        <v>100</v>
      </c>
      <c r="K2221">
        <v>99.6</v>
      </c>
      <c r="L2221" s="1" t="s">
        <v>5314</v>
      </c>
      <c r="M2221" t="s">
        <v>228</v>
      </c>
      <c r="N2221">
        <v>3</v>
      </c>
    </row>
    <row r="2222" spans="1:14" x14ac:dyDescent="0.25">
      <c r="A2222" s="3" t="str">
        <f>HYPERLINK("http://www.ncbi.nlm.nih.gov/gene/3920","3920")</f>
        <v>3920</v>
      </c>
      <c r="B2222" s="1" t="s">
        <v>5316</v>
      </c>
      <c r="C2222" t="s">
        <v>5317</v>
      </c>
      <c r="D2222">
        <v>105.4</v>
      </c>
      <c r="E2222">
        <v>108.9</v>
      </c>
      <c r="F2222">
        <v>99.2</v>
      </c>
      <c r="G2222">
        <v>95.6</v>
      </c>
      <c r="H2222">
        <v>114</v>
      </c>
      <c r="I2222">
        <v>117.8</v>
      </c>
      <c r="J2222">
        <v>100</v>
      </c>
      <c r="K2222">
        <v>100</v>
      </c>
      <c r="L2222" s="1" t="s">
        <v>5316</v>
      </c>
      <c r="M2222" t="s">
        <v>5318</v>
      </c>
      <c r="N2222">
        <v>6</v>
      </c>
    </row>
    <row r="2223" spans="1:14" x14ac:dyDescent="0.25">
      <c r="A2223" s="3" t="str">
        <f>HYPERLINK("http://www.ncbi.nlm.nih.gov/gene/28956","28956")</f>
        <v>28956</v>
      </c>
      <c r="B2223" s="1" t="s">
        <v>5319</v>
      </c>
      <c r="C2223" t="s">
        <v>5320</v>
      </c>
      <c r="D2223">
        <v>179.7</v>
      </c>
      <c r="E2223">
        <v>189.2</v>
      </c>
      <c r="F2223">
        <v>100</v>
      </c>
      <c r="G2223">
        <v>99.7</v>
      </c>
      <c r="H2223">
        <v>126.4</v>
      </c>
      <c r="I2223">
        <v>130.1</v>
      </c>
      <c r="J2223">
        <v>100</v>
      </c>
      <c r="K2223">
        <v>100</v>
      </c>
      <c r="L2223" s="1" t="s">
        <v>5319</v>
      </c>
      <c r="M2223" t="s">
        <v>225</v>
      </c>
      <c r="N2223">
        <v>4</v>
      </c>
    </row>
    <row r="2224" spans="1:14" x14ac:dyDescent="0.25">
      <c r="A2224" s="3" t="str">
        <f>HYPERLINK("http://www.ncbi.nlm.nih.gov/gene/7805","7805")</f>
        <v>7805</v>
      </c>
      <c r="B2224" s="1" t="s">
        <v>5321</v>
      </c>
      <c r="C2224" t="s">
        <v>5322</v>
      </c>
      <c r="D2224">
        <v>106.6</v>
      </c>
      <c r="E2224">
        <v>109.7</v>
      </c>
      <c r="F2224">
        <v>97.9</v>
      </c>
      <c r="G2224">
        <v>92.9</v>
      </c>
      <c r="H2224">
        <v>108.2</v>
      </c>
      <c r="I2224">
        <v>110</v>
      </c>
      <c r="J2224">
        <v>100</v>
      </c>
      <c r="K2224">
        <v>100</v>
      </c>
      <c r="L2224" s="1" t="s">
        <v>5321</v>
      </c>
      <c r="M2224" t="s">
        <v>5323</v>
      </c>
      <c r="N2224">
        <v>2</v>
      </c>
    </row>
    <row r="2225" spans="1:14" x14ac:dyDescent="0.25">
      <c r="A2225" s="3" t="str">
        <f>HYPERLINK("http://www.ncbi.nlm.nih.gov/gene/9215","9215")</f>
        <v>9215</v>
      </c>
      <c r="B2225" s="1" t="s">
        <v>5324</v>
      </c>
      <c r="C2225" t="s">
        <v>5325</v>
      </c>
      <c r="D2225">
        <v>122.3</v>
      </c>
      <c r="E2225">
        <v>129.6</v>
      </c>
      <c r="F2225">
        <v>100</v>
      </c>
      <c r="G2225">
        <v>99.6</v>
      </c>
      <c r="H2225">
        <v>154.80000000000001</v>
      </c>
      <c r="I2225">
        <v>159.30000000000001</v>
      </c>
      <c r="J2225">
        <v>100</v>
      </c>
      <c r="K2225">
        <v>100</v>
      </c>
      <c r="L2225" s="1" t="s">
        <v>5324</v>
      </c>
      <c r="M2225" t="s">
        <v>1019</v>
      </c>
      <c r="N2225">
        <v>5</v>
      </c>
    </row>
    <row r="2226" spans="1:14" x14ac:dyDescent="0.25">
      <c r="A2226" s="3" t="str">
        <f>HYPERLINK("http://www.ncbi.nlm.nih.gov/gene/51574","51574")</f>
        <v>51574</v>
      </c>
      <c r="B2226" s="1" t="s">
        <v>5326</v>
      </c>
      <c r="C2226" t="s">
        <v>5327</v>
      </c>
      <c r="D2226">
        <v>74.8</v>
      </c>
      <c r="E2226">
        <v>78.099999999999994</v>
      </c>
      <c r="F2226">
        <v>88.5</v>
      </c>
      <c r="G2226">
        <v>78.400000000000006</v>
      </c>
      <c r="H2226">
        <v>106</v>
      </c>
      <c r="I2226">
        <v>108.4</v>
      </c>
      <c r="J2226">
        <v>100</v>
      </c>
      <c r="K2226">
        <v>100</v>
      </c>
      <c r="L2226" s="1" t="s">
        <v>5326</v>
      </c>
      <c r="M2226" t="s">
        <v>228</v>
      </c>
      <c r="N2226">
        <v>3</v>
      </c>
    </row>
    <row r="2227" spans="1:14" x14ac:dyDescent="0.25">
      <c r="A2227" s="3" t="str">
        <f>HYPERLINK("http://www.ncbi.nlm.nih.gov/gene/51520","51520")</f>
        <v>51520</v>
      </c>
      <c r="B2227" s="1" t="s">
        <v>5328</v>
      </c>
      <c r="C2227" t="s">
        <v>5329</v>
      </c>
      <c r="D2227">
        <v>158.30000000000001</v>
      </c>
      <c r="E2227">
        <v>164.6</v>
      </c>
      <c r="F2227">
        <v>99.8</v>
      </c>
      <c r="G2227">
        <v>98.4</v>
      </c>
      <c r="H2227">
        <v>134.30000000000001</v>
      </c>
      <c r="I2227">
        <v>138.19999999999999</v>
      </c>
      <c r="J2227">
        <v>100</v>
      </c>
      <c r="K2227">
        <v>100</v>
      </c>
      <c r="L2227" s="1" t="s">
        <v>5328</v>
      </c>
      <c r="M2227" t="s">
        <v>65</v>
      </c>
      <c r="N2227">
        <v>3</v>
      </c>
    </row>
    <row r="2228" spans="1:14" x14ac:dyDescent="0.25">
      <c r="A2228" s="3" t="str">
        <f>HYPERLINK("http://www.ncbi.nlm.nih.gov/gene/23395","23395")</f>
        <v>23395</v>
      </c>
      <c r="B2228" s="1" t="s">
        <v>5330</v>
      </c>
      <c r="C2228" t="s">
        <v>5331</v>
      </c>
      <c r="D2228">
        <v>138.19999999999999</v>
      </c>
      <c r="E2228">
        <v>143.19999999999999</v>
      </c>
      <c r="F2228">
        <v>100</v>
      </c>
      <c r="G2228">
        <v>100</v>
      </c>
      <c r="H2228">
        <v>138.69999999999999</v>
      </c>
      <c r="I2228">
        <v>143.19999999999999</v>
      </c>
      <c r="J2228">
        <v>100</v>
      </c>
      <c r="K2228">
        <v>100</v>
      </c>
      <c r="L2228" s="1" t="s">
        <v>5330</v>
      </c>
      <c r="M2228" t="s">
        <v>5332</v>
      </c>
      <c r="N2228">
        <v>6</v>
      </c>
    </row>
    <row r="2229" spans="1:14" x14ac:dyDescent="0.25">
      <c r="A2229" s="3" t="str">
        <f>HYPERLINK("http://www.ncbi.nlm.nih.gov/gene/81887","81887")</f>
        <v>81887</v>
      </c>
      <c r="B2229" s="1" t="s">
        <v>5333</v>
      </c>
      <c r="C2229" t="s">
        <v>5334</v>
      </c>
      <c r="D2229">
        <v>90.2</v>
      </c>
      <c r="E2229">
        <v>93</v>
      </c>
      <c r="F2229">
        <v>99.7</v>
      </c>
      <c r="G2229">
        <v>97.3</v>
      </c>
      <c r="H2229">
        <v>138.4</v>
      </c>
      <c r="I2229">
        <v>141.5</v>
      </c>
      <c r="J2229">
        <v>100</v>
      </c>
      <c r="K2229">
        <v>100</v>
      </c>
      <c r="L2229" s="1" t="s">
        <v>5333</v>
      </c>
      <c r="M2229" t="s">
        <v>322</v>
      </c>
      <c r="N2229">
        <v>2</v>
      </c>
    </row>
    <row r="2230" spans="1:14" x14ac:dyDescent="0.25">
      <c r="A2230" s="3" t="str">
        <f>HYPERLINK("http://www.ncbi.nlm.nih.gov/gene/27040","27040")</f>
        <v>27040</v>
      </c>
      <c r="B2230" s="1" t="s">
        <v>5335</v>
      </c>
      <c r="C2230" t="s">
        <v>5336</v>
      </c>
      <c r="D2230">
        <v>120.9</v>
      </c>
      <c r="E2230">
        <v>120.5</v>
      </c>
      <c r="F2230">
        <v>100</v>
      </c>
      <c r="G2230">
        <v>99.2</v>
      </c>
      <c r="H2230">
        <v>157.9</v>
      </c>
      <c r="I2230">
        <v>160.19999999999999</v>
      </c>
      <c r="J2230">
        <v>100</v>
      </c>
      <c r="K2230">
        <v>100</v>
      </c>
      <c r="L2230" s="1" t="s">
        <v>5335</v>
      </c>
      <c r="M2230" t="s">
        <v>1551</v>
      </c>
      <c r="N2230">
        <v>4</v>
      </c>
    </row>
    <row r="2231" spans="1:14" x14ac:dyDescent="0.25">
      <c r="A2231" s="3" t="str">
        <f>HYPERLINK("http://www.ncbi.nlm.nih.gov/gene/3930","3930")</f>
        <v>3930</v>
      </c>
      <c r="B2231" s="1" t="s">
        <v>5337</v>
      </c>
      <c r="C2231" t="s">
        <v>5338</v>
      </c>
      <c r="D2231">
        <v>121.5</v>
      </c>
      <c r="E2231">
        <v>127.8</v>
      </c>
      <c r="F2231">
        <v>99.4</v>
      </c>
      <c r="G2231">
        <v>94.5</v>
      </c>
      <c r="H2231">
        <v>132.4</v>
      </c>
      <c r="I2231">
        <v>136.80000000000001</v>
      </c>
      <c r="J2231">
        <v>100</v>
      </c>
      <c r="K2231">
        <v>100</v>
      </c>
      <c r="L2231" s="1" t="s">
        <v>5337</v>
      </c>
      <c r="M2231" t="s">
        <v>5339</v>
      </c>
      <c r="N2231">
        <v>4</v>
      </c>
    </row>
    <row r="2232" spans="1:14" x14ac:dyDescent="0.25">
      <c r="A2232" s="3" t="str">
        <f>HYPERLINK("http://www.ncbi.nlm.nih.gov/gene/10660","10660")</f>
        <v>10660</v>
      </c>
      <c r="B2232" s="1" t="s">
        <v>5340</v>
      </c>
      <c r="C2232" t="s">
        <v>5341</v>
      </c>
      <c r="D2232">
        <v>154.19999999999999</v>
      </c>
      <c r="E2232">
        <v>139</v>
      </c>
      <c r="F2232">
        <v>100</v>
      </c>
      <c r="G2232">
        <v>100</v>
      </c>
      <c r="H2232">
        <v>128.69999999999999</v>
      </c>
      <c r="I2232">
        <v>131.69999999999999</v>
      </c>
      <c r="J2232">
        <v>100</v>
      </c>
      <c r="K2232">
        <v>100</v>
      </c>
      <c r="L2232" s="1" t="s">
        <v>5340</v>
      </c>
      <c r="M2232" t="s">
        <v>1253</v>
      </c>
      <c r="N2232">
        <v>2</v>
      </c>
    </row>
    <row r="2233" spans="1:14" x14ac:dyDescent="0.25">
      <c r="A2233" s="3" t="str">
        <f>HYPERLINK("http://www.ncbi.nlm.nih.gov/gene/167691","167691")</f>
        <v>167691</v>
      </c>
      <c r="B2233" s="1" t="s">
        <v>5342</v>
      </c>
      <c r="C2233" t="s">
        <v>5343</v>
      </c>
      <c r="D2233">
        <v>163.19999999999999</v>
      </c>
      <c r="E2233">
        <v>162.9</v>
      </c>
      <c r="F2233">
        <v>99.9</v>
      </c>
      <c r="G2233">
        <v>99.2</v>
      </c>
      <c r="H2233">
        <v>145.9</v>
      </c>
      <c r="I2233">
        <v>147.6</v>
      </c>
      <c r="J2233">
        <v>100</v>
      </c>
      <c r="K2233">
        <v>100</v>
      </c>
      <c r="L2233" s="1" t="s">
        <v>5342</v>
      </c>
      <c r="M2233" t="s">
        <v>1316</v>
      </c>
      <c r="N2233">
        <v>4</v>
      </c>
    </row>
    <row r="2234" spans="1:14" x14ac:dyDescent="0.25">
      <c r="A2234" s="3" t="str">
        <f>HYPERLINK("http://www.ncbi.nlm.nih.gov/gene/3931","3931")</f>
        <v>3931</v>
      </c>
      <c r="B2234" s="1" t="s">
        <v>5344</v>
      </c>
      <c r="D2234">
        <v>115.9</v>
      </c>
      <c r="E2234">
        <v>117.2</v>
      </c>
      <c r="F2234">
        <v>99</v>
      </c>
      <c r="G2234">
        <v>93.8</v>
      </c>
      <c r="H2234">
        <v>137.19999999999999</v>
      </c>
      <c r="I2234">
        <v>139.4</v>
      </c>
      <c r="J2234">
        <v>100</v>
      </c>
      <c r="K2234">
        <v>100</v>
      </c>
      <c r="L2234" s="1" t="s">
        <v>5344</v>
      </c>
      <c r="M2234" t="s">
        <v>365</v>
      </c>
      <c r="N2234">
        <v>4</v>
      </c>
    </row>
    <row r="2235" spans="1:14" x14ac:dyDescent="0.25">
      <c r="A2235" s="3" t="str">
        <f>HYPERLINK("http://www.ncbi.nlm.nih.gov/gene/3932","3932")</f>
        <v>3932</v>
      </c>
      <c r="B2235" s="1" t="s">
        <v>5345</v>
      </c>
      <c r="C2235" t="s">
        <v>5346</v>
      </c>
      <c r="D2235">
        <v>162.5</v>
      </c>
      <c r="E2235">
        <v>166.5</v>
      </c>
      <c r="F2235">
        <v>98.9</v>
      </c>
      <c r="G2235">
        <v>96.6</v>
      </c>
      <c r="H2235">
        <v>142.30000000000001</v>
      </c>
      <c r="I2235">
        <v>145.80000000000001</v>
      </c>
      <c r="J2235">
        <v>100</v>
      </c>
      <c r="K2235">
        <v>100</v>
      </c>
      <c r="L2235" s="1" t="s">
        <v>5345</v>
      </c>
      <c r="M2235" t="s">
        <v>1551</v>
      </c>
      <c r="N2235">
        <v>4</v>
      </c>
    </row>
    <row r="2236" spans="1:14" x14ac:dyDescent="0.25">
      <c r="A2236" s="3" t="str">
        <f>HYPERLINK("http://www.ncbi.nlm.nih.gov/gene/3938","3938")</f>
        <v>3938</v>
      </c>
      <c r="B2236" s="1" t="s">
        <v>5347</v>
      </c>
      <c r="C2236" t="s">
        <v>5348</v>
      </c>
      <c r="D2236">
        <v>139.4</v>
      </c>
      <c r="E2236">
        <v>134.19999999999999</v>
      </c>
      <c r="F2236">
        <v>99.8</v>
      </c>
      <c r="G2236">
        <v>98.5</v>
      </c>
      <c r="H2236">
        <v>153.4</v>
      </c>
      <c r="I2236">
        <v>154.9</v>
      </c>
      <c r="J2236">
        <v>100</v>
      </c>
      <c r="K2236">
        <v>100</v>
      </c>
      <c r="L2236" s="1" t="s">
        <v>5347</v>
      </c>
      <c r="M2236" t="s">
        <v>116</v>
      </c>
      <c r="N2236">
        <v>3</v>
      </c>
    </row>
    <row r="2237" spans="1:14" x14ac:dyDescent="0.25">
      <c r="A2237" s="3" t="str">
        <f>HYPERLINK("http://www.ncbi.nlm.nih.gov/gene/11155","11155")</f>
        <v>11155</v>
      </c>
      <c r="B2237" s="1" t="s">
        <v>5349</v>
      </c>
      <c r="C2237" t="s">
        <v>5350</v>
      </c>
      <c r="D2237">
        <v>141.4</v>
      </c>
      <c r="E2237">
        <v>149.69999999999999</v>
      </c>
      <c r="F2237">
        <v>95.4</v>
      </c>
      <c r="G2237">
        <v>94.7</v>
      </c>
      <c r="H2237">
        <v>139.19999999999999</v>
      </c>
      <c r="I2237">
        <v>143</v>
      </c>
      <c r="J2237">
        <v>100</v>
      </c>
      <c r="K2237">
        <v>100</v>
      </c>
      <c r="L2237" s="1" t="s">
        <v>5349</v>
      </c>
      <c r="M2237" t="s">
        <v>1453</v>
      </c>
      <c r="N2237">
        <v>3</v>
      </c>
    </row>
    <row r="2238" spans="1:14" x14ac:dyDescent="0.25">
      <c r="A2238" s="3" t="str">
        <f>HYPERLINK("http://www.ncbi.nlm.nih.gov/gene/3939","3939")</f>
        <v>3939</v>
      </c>
      <c r="B2238" s="1" t="s">
        <v>5351</v>
      </c>
      <c r="C2238" t="s">
        <v>5352</v>
      </c>
      <c r="D2238">
        <v>85.6</v>
      </c>
      <c r="E2238">
        <v>79.099999999999994</v>
      </c>
      <c r="F2238">
        <v>95</v>
      </c>
      <c r="G2238">
        <v>91.7</v>
      </c>
      <c r="H2238">
        <v>123.9</v>
      </c>
      <c r="I2238">
        <v>127.7</v>
      </c>
      <c r="J2238">
        <v>100</v>
      </c>
      <c r="K2238">
        <v>100</v>
      </c>
      <c r="L2238" s="1" t="s">
        <v>5351</v>
      </c>
      <c r="M2238" t="s">
        <v>5353</v>
      </c>
      <c r="N2238">
        <v>5</v>
      </c>
    </row>
    <row r="2239" spans="1:14" x14ac:dyDescent="0.25">
      <c r="A2239" s="3" t="str">
        <f>HYPERLINK("http://www.ncbi.nlm.nih.gov/gene/3945","3945")</f>
        <v>3945</v>
      </c>
      <c r="B2239" s="1" t="s">
        <v>5354</v>
      </c>
      <c r="C2239" t="s">
        <v>5355</v>
      </c>
      <c r="D2239">
        <v>105.2</v>
      </c>
      <c r="E2239">
        <v>110.4</v>
      </c>
      <c r="F2239">
        <v>94.7</v>
      </c>
      <c r="G2239">
        <v>84.3</v>
      </c>
      <c r="H2239">
        <v>160.9</v>
      </c>
      <c r="I2239">
        <v>166.7</v>
      </c>
      <c r="J2239">
        <v>100</v>
      </c>
      <c r="K2239">
        <v>100</v>
      </c>
      <c r="L2239" s="1" t="s">
        <v>5354</v>
      </c>
      <c r="M2239" t="s">
        <v>93</v>
      </c>
      <c r="N2239">
        <v>2</v>
      </c>
    </row>
    <row r="2240" spans="1:14" x14ac:dyDescent="0.25">
      <c r="A2240" s="3" t="str">
        <f>HYPERLINK("http://www.ncbi.nlm.nih.gov/gene/197257","197257")</f>
        <v>197257</v>
      </c>
      <c r="B2240" s="1" t="s">
        <v>5356</v>
      </c>
      <c r="C2240" t="s">
        <v>5357</v>
      </c>
      <c r="D2240">
        <v>132.6</v>
      </c>
      <c r="E2240">
        <v>134.4</v>
      </c>
      <c r="F2240">
        <v>100</v>
      </c>
      <c r="G2240">
        <v>99.5</v>
      </c>
      <c r="H2240">
        <v>159.6</v>
      </c>
      <c r="I2240">
        <v>164.3</v>
      </c>
      <c r="J2240">
        <v>100</v>
      </c>
      <c r="K2240">
        <v>100</v>
      </c>
      <c r="L2240" s="1" t="s">
        <v>5356</v>
      </c>
      <c r="M2240" t="s">
        <v>53</v>
      </c>
      <c r="N2240">
        <v>2</v>
      </c>
    </row>
    <row r="2241" spans="1:14" x14ac:dyDescent="0.25">
      <c r="A2241" s="3" t="str">
        <f>HYPERLINK("http://www.ncbi.nlm.nih.gov/gene/3949","3949")</f>
        <v>3949</v>
      </c>
      <c r="B2241" s="1" t="s">
        <v>5358</v>
      </c>
      <c r="C2241" t="s">
        <v>5359</v>
      </c>
      <c r="D2241">
        <v>169.5</v>
      </c>
      <c r="E2241">
        <v>179.3</v>
      </c>
      <c r="F2241">
        <v>100</v>
      </c>
      <c r="G2241">
        <v>99.3</v>
      </c>
      <c r="H2241">
        <v>135.5</v>
      </c>
      <c r="I2241">
        <v>138.80000000000001</v>
      </c>
      <c r="J2241">
        <v>100</v>
      </c>
      <c r="K2241">
        <v>100</v>
      </c>
      <c r="L2241" s="1" t="s">
        <v>5358</v>
      </c>
      <c r="M2241" t="s">
        <v>661</v>
      </c>
      <c r="N2241">
        <v>2</v>
      </c>
    </row>
    <row r="2242" spans="1:14" x14ac:dyDescent="0.25">
      <c r="A2242" s="3" t="str">
        <f>HYPERLINK("http://www.ncbi.nlm.nih.gov/gene/26119","26119")</f>
        <v>26119</v>
      </c>
      <c r="B2242" s="1" t="s">
        <v>5360</v>
      </c>
      <c r="C2242" t="s">
        <v>5361</v>
      </c>
      <c r="D2242">
        <v>148.4</v>
      </c>
      <c r="E2242">
        <v>153.1</v>
      </c>
      <c r="F2242">
        <v>98.8</v>
      </c>
      <c r="G2242">
        <v>94.2</v>
      </c>
      <c r="H2242">
        <v>121.8</v>
      </c>
      <c r="I2242">
        <v>124.5</v>
      </c>
      <c r="J2242">
        <v>100</v>
      </c>
      <c r="K2242">
        <v>100</v>
      </c>
      <c r="L2242" s="1" t="s">
        <v>5360</v>
      </c>
      <c r="M2242" t="s">
        <v>246</v>
      </c>
      <c r="N2242">
        <v>3</v>
      </c>
    </row>
    <row r="2243" spans="1:14" x14ac:dyDescent="0.25">
      <c r="A2243" s="3" t="str">
        <f>HYPERLINK("http://www.ncbi.nlm.nih.gov/gene/51176","51176")</f>
        <v>51176</v>
      </c>
      <c r="B2243" s="1" t="s">
        <v>5362</v>
      </c>
      <c r="C2243" t="s">
        <v>5363</v>
      </c>
      <c r="D2243">
        <v>125.6</v>
      </c>
      <c r="E2243">
        <v>127.8</v>
      </c>
      <c r="F2243">
        <v>100</v>
      </c>
      <c r="G2243">
        <v>100</v>
      </c>
      <c r="H2243">
        <v>149.4</v>
      </c>
      <c r="I2243">
        <v>152.9</v>
      </c>
      <c r="J2243">
        <v>100</v>
      </c>
      <c r="K2243">
        <v>100</v>
      </c>
      <c r="L2243" s="1" t="s">
        <v>5362</v>
      </c>
      <c r="M2243" t="s">
        <v>22</v>
      </c>
      <c r="N2243">
        <v>1</v>
      </c>
    </row>
    <row r="2244" spans="1:14" x14ac:dyDescent="0.25">
      <c r="A2244" s="3" t="str">
        <f>HYPERLINK("http://www.ncbi.nlm.nih.gov/gene/7044","7044")</f>
        <v>7044</v>
      </c>
      <c r="B2244" s="1" t="s">
        <v>5364</v>
      </c>
      <c r="C2244" t="s">
        <v>5365</v>
      </c>
      <c r="D2244">
        <v>53.2</v>
      </c>
      <c r="E2244">
        <v>51.9</v>
      </c>
      <c r="F2244">
        <v>88.9</v>
      </c>
      <c r="G2244">
        <v>81.400000000000006</v>
      </c>
      <c r="H2244">
        <v>178</v>
      </c>
      <c r="I2244">
        <v>181.9</v>
      </c>
      <c r="J2244">
        <v>100</v>
      </c>
      <c r="K2244">
        <v>100</v>
      </c>
      <c r="L2244" s="1" t="s">
        <v>5364</v>
      </c>
      <c r="M2244" t="s">
        <v>5366</v>
      </c>
      <c r="N2244">
        <v>3</v>
      </c>
    </row>
    <row r="2245" spans="1:14" x14ac:dyDescent="0.25">
      <c r="A2245" s="3" t="str">
        <f>HYPERLINK("http://www.ncbi.nlm.nih.gov/gene/221496","221496")</f>
        <v>221496</v>
      </c>
      <c r="B2245" s="1" t="s">
        <v>5367</v>
      </c>
      <c r="C2245" t="s">
        <v>5368</v>
      </c>
      <c r="D2245">
        <v>97.6</v>
      </c>
      <c r="E2245">
        <v>89.6</v>
      </c>
      <c r="F2245">
        <v>98.7</v>
      </c>
      <c r="G2245">
        <v>92</v>
      </c>
      <c r="H2245">
        <v>116.8</v>
      </c>
      <c r="I2245">
        <v>112.7</v>
      </c>
      <c r="J2245">
        <v>100</v>
      </c>
      <c r="K2245">
        <v>100</v>
      </c>
      <c r="L2245" s="1" t="s">
        <v>5367</v>
      </c>
      <c r="M2245" t="s">
        <v>56</v>
      </c>
      <c r="N2245">
        <v>3</v>
      </c>
    </row>
    <row r="2246" spans="1:14" x14ac:dyDescent="0.25">
      <c r="A2246" s="3" t="str">
        <f>HYPERLINK("http://www.ncbi.nlm.nih.gov/gene/23592","23592")</f>
        <v>23592</v>
      </c>
      <c r="B2246" s="1" t="s">
        <v>5369</v>
      </c>
      <c r="C2246" t="s">
        <v>5370</v>
      </c>
      <c r="D2246">
        <v>142.4</v>
      </c>
      <c r="E2246">
        <v>147.6</v>
      </c>
      <c r="F2246">
        <v>99.9</v>
      </c>
      <c r="G2246">
        <v>98.7</v>
      </c>
      <c r="H2246">
        <v>134.1</v>
      </c>
      <c r="I2246">
        <v>133.6</v>
      </c>
      <c r="J2246">
        <v>100</v>
      </c>
      <c r="K2246">
        <v>100</v>
      </c>
      <c r="L2246" s="1" t="s">
        <v>5369</v>
      </c>
      <c r="M2246" t="s">
        <v>5371</v>
      </c>
      <c r="N2246">
        <v>3</v>
      </c>
    </row>
    <row r="2247" spans="1:14" x14ac:dyDescent="0.25">
      <c r="A2247" s="3" t="str">
        <f>HYPERLINK("http://www.ncbi.nlm.nih.gov/gene/3952","3952")</f>
        <v>3952</v>
      </c>
      <c r="B2247" s="1" t="s">
        <v>5372</v>
      </c>
      <c r="C2247" t="s">
        <v>5373</v>
      </c>
      <c r="D2247">
        <v>186.1</v>
      </c>
      <c r="E2247">
        <v>198.4</v>
      </c>
      <c r="F2247">
        <v>99.9</v>
      </c>
      <c r="G2247">
        <v>97.3</v>
      </c>
      <c r="H2247">
        <v>136.9</v>
      </c>
      <c r="I2247">
        <v>139.80000000000001</v>
      </c>
      <c r="J2247">
        <v>100</v>
      </c>
      <c r="K2247">
        <v>100</v>
      </c>
      <c r="L2247" s="1" t="s">
        <v>5372</v>
      </c>
      <c r="M2247" t="s">
        <v>5374</v>
      </c>
      <c r="N2247">
        <v>5</v>
      </c>
    </row>
    <row r="2248" spans="1:14" x14ac:dyDescent="0.25">
      <c r="A2248" s="3" t="str">
        <f>HYPERLINK("http://www.ncbi.nlm.nih.gov/gene/3953","3953")</f>
        <v>3953</v>
      </c>
      <c r="B2248" s="1" t="s">
        <v>5375</v>
      </c>
      <c r="C2248" t="s">
        <v>5376</v>
      </c>
      <c r="D2248">
        <v>125.3</v>
      </c>
      <c r="E2248">
        <v>128.30000000000001</v>
      </c>
      <c r="F2248">
        <v>94.3</v>
      </c>
      <c r="G2248">
        <v>92.6</v>
      </c>
      <c r="H2248">
        <v>125</v>
      </c>
      <c r="I2248">
        <v>128.9</v>
      </c>
      <c r="J2248">
        <v>94.6</v>
      </c>
      <c r="K2248">
        <v>94.6</v>
      </c>
      <c r="L2248" s="1" t="s">
        <v>5375</v>
      </c>
      <c r="M2248" t="s">
        <v>3509</v>
      </c>
      <c r="N2248">
        <v>4</v>
      </c>
    </row>
    <row r="2249" spans="1:14" x14ac:dyDescent="0.25">
      <c r="A2249" s="3" t="str">
        <f>HYPERLINK("http://www.ncbi.nlm.nih.gov/gene/3955","3955")</f>
        <v>3955</v>
      </c>
      <c r="B2249" s="1" t="s">
        <v>5377</v>
      </c>
      <c r="C2249" t="s">
        <v>5378</v>
      </c>
      <c r="D2249">
        <v>111.1</v>
      </c>
      <c r="E2249">
        <v>107.3</v>
      </c>
      <c r="F2249">
        <v>87.9</v>
      </c>
      <c r="G2249">
        <v>86.4</v>
      </c>
      <c r="H2249">
        <v>121.4</v>
      </c>
      <c r="I2249">
        <v>121.3</v>
      </c>
      <c r="J2249">
        <v>92.2</v>
      </c>
      <c r="K2249">
        <v>87.7</v>
      </c>
      <c r="L2249" s="1" t="s">
        <v>5377</v>
      </c>
      <c r="M2249" t="s">
        <v>351</v>
      </c>
      <c r="N2249">
        <v>4</v>
      </c>
    </row>
    <row r="2250" spans="1:14" x14ac:dyDescent="0.25">
      <c r="A2250" s="3" t="str">
        <f>HYPERLINK("http://www.ncbi.nlm.nih.gov/gene/9211","9211")</f>
        <v>9211</v>
      </c>
      <c r="B2250" s="1" t="s">
        <v>5379</v>
      </c>
      <c r="C2250" t="s">
        <v>5380</v>
      </c>
      <c r="D2250">
        <v>175.9</v>
      </c>
      <c r="E2250">
        <v>170.5</v>
      </c>
      <c r="F2250">
        <v>98.5</v>
      </c>
      <c r="G2250">
        <v>97.5</v>
      </c>
      <c r="H2250">
        <v>160.30000000000001</v>
      </c>
      <c r="I2250">
        <v>160.1</v>
      </c>
      <c r="J2250">
        <v>100</v>
      </c>
      <c r="K2250">
        <v>100</v>
      </c>
      <c r="L2250" s="1" t="s">
        <v>5379</v>
      </c>
      <c r="M2250" t="s">
        <v>1867</v>
      </c>
      <c r="N2250">
        <v>2</v>
      </c>
    </row>
    <row r="2251" spans="1:14" x14ac:dyDescent="0.25">
      <c r="A2251" s="3" t="str">
        <f>HYPERLINK("http://www.ncbi.nlm.nih.gov/gene/163175","163175")</f>
        <v>163175</v>
      </c>
      <c r="B2251" s="1" t="s">
        <v>5381</v>
      </c>
      <c r="C2251" t="s">
        <v>5382</v>
      </c>
      <c r="D2251">
        <v>102.4</v>
      </c>
      <c r="E2251">
        <v>93.7</v>
      </c>
      <c r="F2251">
        <v>99.9</v>
      </c>
      <c r="G2251">
        <v>97.9</v>
      </c>
      <c r="H2251">
        <v>167.3</v>
      </c>
      <c r="I2251">
        <v>167.2</v>
      </c>
      <c r="J2251">
        <v>100</v>
      </c>
      <c r="K2251">
        <v>100</v>
      </c>
      <c r="L2251" s="1" t="s">
        <v>5381</v>
      </c>
      <c r="M2251" t="s">
        <v>280</v>
      </c>
      <c r="N2251">
        <v>3</v>
      </c>
    </row>
    <row r="2252" spans="1:14" x14ac:dyDescent="0.25">
      <c r="A2252" s="3" t="str">
        <f>HYPERLINK("http://www.ncbi.nlm.nih.gov/gene/3972","3972")</f>
        <v>3972</v>
      </c>
      <c r="B2252" s="1" t="s">
        <v>5383</v>
      </c>
      <c r="C2252" t="s">
        <v>5384</v>
      </c>
      <c r="D2252">
        <v>20.6</v>
      </c>
      <c r="E2252">
        <v>21</v>
      </c>
      <c r="F2252">
        <v>90.4</v>
      </c>
      <c r="G2252">
        <v>38.9</v>
      </c>
      <c r="H2252">
        <v>273</v>
      </c>
      <c r="I2252">
        <v>280.39999999999998</v>
      </c>
      <c r="J2252">
        <v>100</v>
      </c>
      <c r="K2252">
        <v>100</v>
      </c>
      <c r="L2252" s="1" t="s">
        <v>5383</v>
      </c>
      <c r="M2252" t="s">
        <v>3509</v>
      </c>
      <c r="N2252">
        <v>4</v>
      </c>
    </row>
    <row r="2253" spans="1:14" x14ac:dyDescent="0.25">
      <c r="A2253" s="3" t="str">
        <f>HYPERLINK("http://www.ncbi.nlm.nih.gov/gene/3973","3973")</f>
        <v>3973</v>
      </c>
      <c r="B2253" s="1" t="s">
        <v>5385</v>
      </c>
      <c r="C2253" t="s">
        <v>5386</v>
      </c>
      <c r="D2253">
        <v>145.9</v>
      </c>
      <c r="E2253">
        <v>142.30000000000001</v>
      </c>
      <c r="F2253">
        <v>94.1</v>
      </c>
      <c r="G2253">
        <v>92.3</v>
      </c>
      <c r="H2253">
        <v>132.1</v>
      </c>
      <c r="I2253">
        <v>133.6</v>
      </c>
      <c r="J2253">
        <v>100</v>
      </c>
      <c r="K2253">
        <v>100</v>
      </c>
      <c r="L2253" s="1" t="s">
        <v>5385</v>
      </c>
      <c r="M2253" t="s">
        <v>5387</v>
      </c>
      <c r="N2253">
        <v>4</v>
      </c>
    </row>
    <row r="2254" spans="1:14" x14ac:dyDescent="0.25">
      <c r="A2254" s="3" t="str">
        <f>HYPERLINK("http://www.ncbi.nlm.nih.gov/gene/222662","222662")</f>
        <v>222662</v>
      </c>
      <c r="B2254" s="1" t="s">
        <v>5388</v>
      </c>
      <c r="C2254" t="s">
        <v>5389</v>
      </c>
      <c r="D2254">
        <v>242.3</v>
      </c>
      <c r="E2254">
        <v>253.3</v>
      </c>
      <c r="F2254">
        <v>100</v>
      </c>
      <c r="G2254">
        <v>100</v>
      </c>
      <c r="H2254">
        <v>139.19999999999999</v>
      </c>
      <c r="I2254">
        <v>141.30000000000001</v>
      </c>
      <c r="J2254">
        <v>100</v>
      </c>
      <c r="K2254">
        <v>100</v>
      </c>
      <c r="L2254" s="1" t="s">
        <v>5388</v>
      </c>
      <c r="M2254" t="s">
        <v>269</v>
      </c>
      <c r="N2254">
        <v>3</v>
      </c>
    </row>
    <row r="2255" spans="1:14" x14ac:dyDescent="0.25">
      <c r="A2255" s="3" t="str">
        <f>HYPERLINK("http://www.ncbi.nlm.nih.gov/gene/3975","3975")</f>
        <v>3975</v>
      </c>
      <c r="B2255" s="1" t="s">
        <v>5390</v>
      </c>
      <c r="C2255" t="s">
        <v>5391</v>
      </c>
      <c r="D2255">
        <v>155.19999999999999</v>
      </c>
      <c r="E2255">
        <v>156.9</v>
      </c>
      <c r="F2255">
        <v>100</v>
      </c>
      <c r="G2255">
        <v>99.6</v>
      </c>
      <c r="H2255">
        <v>210.6</v>
      </c>
      <c r="I2255">
        <v>217.8</v>
      </c>
      <c r="J2255">
        <v>100</v>
      </c>
      <c r="K2255">
        <v>100</v>
      </c>
      <c r="L2255" s="1" t="s">
        <v>5390</v>
      </c>
      <c r="M2255" t="s">
        <v>840</v>
      </c>
      <c r="N2255">
        <v>2</v>
      </c>
    </row>
    <row r="2256" spans="1:14" x14ac:dyDescent="0.25">
      <c r="A2256" s="3" t="str">
        <f>HYPERLINK("http://www.ncbi.nlm.nih.gov/gene/8022","8022")</f>
        <v>8022</v>
      </c>
      <c r="B2256" s="1" t="s">
        <v>5392</v>
      </c>
      <c r="C2256" t="s">
        <v>5393</v>
      </c>
      <c r="D2256">
        <v>83.8</v>
      </c>
      <c r="E2256">
        <v>86.2</v>
      </c>
      <c r="F2256">
        <v>96.6</v>
      </c>
      <c r="G2256">
        <v>96.5</v>
      </c>
      <c r="H2256">
        <v>127.5</v>
      </c>
      <c r="I2256">
        <v>129.30000000000001</v>
      </c>
      <c r="J2256">
        <v>100</v>
      </c>
      <c r="K2256">
        <v>100</v>
      </c>
      <c r="L2256" s="1" t="s">
        <v>5392</v>
      </c>
      <c r="M2256" t="s">
        <v>5394</v>
      </c>
      <c r="N2256">
        <v>5</v>
      </c>
    </row>
    <row r="2257" spans="1:14" x14ac:dyDescent="0.25">
      <c r="A2257" s="3" t="str">
        <f>HYPERLINK("http://www.ncbi.nlm.nih.gov/gene/89884","89884")</f>
        <v>89884</v>
      </c>
      <c r="B2257" s="1" t="s">
        <v>5395</v>
      </c>
      <c r="C2257" t="s">
        <v>5396</v>
      </c>
      <c r="D2257">
        <v>150</v>
      </c>
      <c r="E2257">
        <v>153.9</v>
      </c>
      <c r="F2257">
        <v>100</v>
      </c>
      <c r="G2257">
        <v>100</v>
      </c>
      <c r="H2257">
        <v>152.80000000000001</v>
      </c>
      <c r="I2257">
        <v>159</v>
      </c>
      <c r="J2257">
        <v>100</v>
      </c>
      <c r="K2257">
        <v>100</v>
      </c>
      <c r="L2257" s="1" t="s">
        <v>5395</v>
      </c>
      <c r="M2257" t="s">
        <v>1253</v>
      </c>
      <c r="N2257">
        <v>2</v>
      </c>
    </row>
    <row r="2258" spans="1:14" x14ac:dyDescent="0.25">
      <c r="A2258" s="3" t="str">
        <f>HYPERLINK("http://www.ncbi.nlm.nih.gov/gene/11019","11019")</f>
        <v>11019</v>
      </c>
      <c r="B2258" s="1" t="s">
        <v>5397</v>
      </c>
      <c r="C2258" t="s">
        <v>5398</v>
      </c>
      <c r="D2258">
        <v>146</v>
      </c>
      <c r="E2258">
        <v>151.6</v>
      </c>
      <c r="F2258">
        <v>100</v>
      </c>
      <c r="G2258">
        <v>99.1</v>
      </c>
      <c r="H2258">
        <v>132.4</v>
      </c>
      <c r="I2258">
        <v>136</v>
      </c>
      <c r="J2258">
        <v>100</v>
      </c>
      <c r="K2258">
        <v>100</v>
      </c>
      <c r="L2258" s="1" t="s">
        <v>5397</v>
      </c>
      <c r="M2258" t="s">
        <v>41</v>
      </c>
      <c r="N2258">
        <v>6</v>
      </c>
    </row>
    <row r="2259" spans="1:14" x14ac:dyDescent="0.25">
      <c r="A2259" s="3" t="str">
        <f>HYPERLINK("http://www.ncbi.nlm.nih.gov/gene/3977","3977")</f>
        <v>3977</v>
      </c>
      <c r="B2259" s="1" t="s">
        <v>5399</v>
      </c>
      <c r="C2259" t="s">
        <v>5400</v>
      </c>
      <c r="D2259">
        <v>133.19999999999999</v>
      </c>
      <c r="E2259">
        <v>136.69999999999999</v>
      </c>
      <c r="F2259">
        <v>99.7</v>
      </c>
      <c r="G2259">
        <v>98</v>
      </c>
      <c r="H2259">
        <v>135.30000000000001</v>
      </c>
      <c r="I2259">
        <v>139.6</v>
      </c>
      <c r="J2259">
        <v>100</v>
      </c>
      <c r="K2259">
        <v>100</v>
      </c>
      <c r="L2259" s="1" t="s">
        <v>5399</v>
      </c>
      <c r="M2259" t="s">
        <v>5401</v>
      </c>
      <c r="N2259">
        <v>4</v>
      </c>
    </row>
    <row r="2260" spans="1:14" x14ac:dyDescent="0.25">
      <c r="A2260" s="3" t="str">
        <f>HYPERLINK("http://www.ncbi.nlm.nih.gov/gene/3978","3978")</f>
        <v>3978</v>
      </c>
      <c r="B2260" s="1" t="s">
        <v>5402</v>
      </c>
      <c r="D2260">
        <v>115.8</v>
      </c>
      <c r="E2260">
        <v>117.7</v>
      </c>
      <c r="F2260">
        <v>100</v>
      </c>
      <c r="G2260">
        <v>99.7</v>
      </c>
      <c r="H2260">
        <v>133.69999999999999</v>
      </c>
      <c r="I2260">
        <v>136.9</v>
      </c>
      <c r="J2260">
        <v>100</v>
      </c>
      <c r="K2260">
        <v>100</v>
      </c>
      <c r="L2260" s="1" t="s">
        <v>5402</v>
      </c>
      <c r="M2260" t="s">
        <v>502</v>
      </c>
      <c r="N2260">
        <v>2</v>
      </c>
    </row>
    <row r="2261" spans="1:14" x14ac:dyDescent="0.25">
      <c r="A2261" s="3" t="str">
        <f>HYPERLINK("http://www.ncbi.nlm.nih.gov/gene/3981","3981")</f>
        <v>3981</v>
      </c>
      <c r="B2261" s="1" t="s">
        <v>5403</v>
      </c>
      <c r="C2261" t="s">
        <v>5404</v>
      </c>
      <c r="D2261">
        <v>227.7</v>
      </c>
      <c r="E2261">
        <v>222.9</v>
      </c>
      <c r="F2261">
        <v>100</v>
      </c>
      <c r="G2261">
        <v>99.9</v>
      </c>
      <c r="H2261">
        <v>146.30000000000001</v>
      </c>
      <c r="I2261">
        <v>146.30000000000001</v>
      </c>
      <c r="J2261">
        <v>100</v>
      </c>
      <c r="K2261">
        <v>100</v>
      </c>
      <c r="L2261" s="1" t="s">
        <v>5403</v>
      </c>
      <c r="M2261" t="s">
        <v>5405</v>
      </c>
      <c r="N2261">
        <v>8</v>
      </c>
    </row>
    <row r="2262" spans="1:14" x14ac:dyDescent="0.25">
      <c r="A2262" s="3" t="str">
        <f>HYPERLINK("http://www.ncbi.nlm.nih.gov/gene/3982","3982")</f>
        <v>3982</v>
      </c>
      <c r="B2262" s="1" t="s">
        <v>5406</v>
      </c>
      <c r="C2262" t="s">
        <v>5407</v>
      </c>
      <c r="D2262">
        <v>113.6</v>
      </c>
      <c r="E2262">
        <v>120.6</v>
      </c>
      <c r="F2262">
        <v>100</v>
      </c>
      <c r="G2262">
        <v>100</v>
      </c>
      <c r="H2262">
        <v>153.9</v>
      </c>
      <c r="I2262">
        <v>159.6</v>
      </c>
      <c r="J2262">
        <v>100</v>
      </c>
      <c r="K2262">
        <v>100</v>
      </c>
      <c r="L2262" s="1" t="s">
        <v>5406</v>
      </c>
      <c r="M2262" t="s">
        <v>56</v>
      </c>
      <c r="N2262">
        <v>3</v>
      </c>
    </row>
    <row r="2263" spans="1:14" x14ac:dyDescent="0.25">
      <c r="A2263" s="3" t="str">
        <f>HYPERLINK("http://www.ncbi.nlm.nih.gov/gene/55679","55679")</f>
        <v>55679</v>
      </c>
      <c r="B2263" s="1" t="s">
        <v>5408</v>
      </c>
      <c r="C2263" t="s">
        <v>5409</v>
      </c>
      <c r="D2263">
        <v>115.1</v>
      </c>
      <c r="E2263">
        <v>118.6</v>
      </c>
      <c r="F2263">
        <v>93</v>
      </c>
      <c r="G2263">
        <v>92.7</v>
      </c>
      <c r="H2263">
        <v>127.7</v>
      </c>
      <c r="I2263">
        <v>130.6</v>
      </c>
      <c r="J2263">
        <v>99.8</v>
      </c>
      <c r="K2263">
        <v>98.9</v>
      </c>
      <c r="L2263" s="1" t="s">
        <v>5408</v>
      </c>
      <c r="M2263" t="s">
        <v>1264</v>
      </c>
      <c r="N2263">
        <v>3</v>
      </c>
    </row>
    <row r="2264" spans="1:14" x14ac:dyDescent="0.25">
      <c r="A2264" s="3" t="str">
        <f>HYPERLINK("http://www.ncbi.nlm.nih.gov/gene/84894","84894")</f>
        <v>84894</v>
      </c>
      <c r="B2264" s="1" t="s">
        <v>5410</v>
      </c>
      <c r="C2264" t="s">
        <v>5411</v>
      </c>
      <c r="D2264">
        <v>186.7</v>
      </c>
      <c r="E2264">
        <v>167.5</v>
      </c>
      <c r="F2264">
        <v>100</v>
      </c>
      <c r="G2264">
        <v>100</v>
      </c>
      <c r="H2264">
        <v>146</v>
      </c>
      <c r="I2264">
        <v>144.6</v>
      </c>
      <c r="J2264">
        <v>100</v>
      </c>
      <c r="K2264">
        <v>100</v>
      </c>
      <c r="L2264" s="1" t="s">
        <v>5410</v>
      </c>
      <c r="M2264" t="s">
        <v>228</v>
      </c>
      <c r="N2264">
        <v>3</v>
      </c>
    </row>
    <row r="2265" spans="1:14" x14ac:dyDescent="0.25">
      <c r="A2265" s="3" t="str">
        <f>HYPERLINK("http://www.ncbi.nlm.nih.gov/gene/55180","55180")</f>
        <v>55180</v>
      </c>
      <c r="B2265" s="1" t="s">
        <v>5412</v>
      </c>
      <c r="C2265" t="s">
        <v>5413</v>
      </c>
      <c r="D2265">
        <v>143.4</v>
      </c>
      <c r="E2265">
        <v>139.80000000000001</v>
      </c>
      <c r="F2265">
        <v>100</v>
      </c>
      <c r="G2265">
        <v>99.1</v>
      </c>
      <c r="H2265">
        <v>140.9</v>
      </c>
      <c r="I2265">
        <v>143.6</v>
      </c>
      <c r="J2265">
        <v>100</v>
      </c>
      <c r="K2265">
        <v>100</v>
      </c>
      <c r="L2265" s="1" t="s">
        <v>5412</v>
      </c>
      <c r="M2265" t="s">
        <v>228</v>
      </c>
      <c r="N2265">
        <v>3</v>
      </c>
    </row>
    <row r="2266" spans="1:14" x14ac:dyDescent="0.25">
      <c r="A2266" s="3" t="str">
        <f>HYPERLINK("http://www.ncbi.nlm.nih.gov/gene/3988","3988")</f>
        <v>3988</v>
      </c>
      <c r="B2266" s="1" t="s">
        <v>5414</v>
      </c>
      <c r="C2266" t="s">
        <v>5415</v>
      </c>
      <c r="D2266">
        <v>124.6</v>
      </c>
      <c r="E2266">
        <v>131.19999999999999</v>
      </c>
      <c r="F2266">
        <v>99.2</v>
      </c>
      <c r="G2266">
        <v>95.2</v>
      </c>
      <c r="H2266">
        <v>136</v>
      </c>
      <c r="I2266">
        <v>140.4</v>
      </c>
      <c r="J2266">
        <v>95.2</v>
      </c>
      <c r="K2266">
        <v>95.2</v>
      </c>
      <c r="L2266" s="1" t="s">
        <v>5414</v>
      </c>
      <c r="M2266" t="s">
        <v>2502</v>
      </c>
      <c r="N2266">
        <v>4</v>
      </c>
    </row>
    <row r="2267" spans="1:14" x14ac:dyDescent="0.25">
      <c r="A2267" s="3" t="str">
        <f>HYPERLINK("http://www.ncbi.nlm.nih.gov/gene/3990","3990")</f>
        <v>3990</v>
      </c>
      <c r="B2267" s="1" t="s">
        <v>5416</v>
      </c>
      <c r="C2267" t="s">
        <v>5417</v>
      </c>
      <c r="D2267">
        <v>108.2</v>
      </c>
      <c r="E2267">
        <v>115.4</v>
      </c>
      <c r="F2267">
        <v>100</v>
      </c>
      <c r="G2267">
        <v>99.4</v>
      </c>
      <c r="H2267">
        <v>125.8</v>
      </c>
      <c r="I2267">
        <v>130.1</v>
      </c>
      <c r="J2267">
        <v>100</v>
      </c>
      <c r="K2267">
        <v>100</v>
      </c>
      <c r="L2267" s="1" t="s">
        <v>5416</v>
      </c>
      <c r="M2267" t="s">
        <v>116</v>
      </c>
      <c r="N2267">
        <v>3</v>
      </c>
    </row>
    <row r="2268" spans="1:14" x14ac:dyDescent="0.25">
      <c r="A2268" s="3" t="str">
        <f>HYPERLINK("http://www.ncbi.nlm.nih.gov/gene/3991","3991")</f>
        <v>3991</v>
      </c>
      <c r="B2268" s="1" t="s">
        <v>5418</v>
      </c>
      <c r="C2268" t="s">
        <v>5419</v>
      </c>
      <c r="D2268">
        <v>127.6</v>
      </c>
      <c r="E2268">
        <v>128.5</v>
      </c>
      <c r="F2268">
        <v>100</v>
      </c>
      <c r="G2268">
        <v>99</v>
      </c>
      <c r="H2268">
        <v>147.69999999999999</v>
      </c>
      <c r="I2268">
        <v>151.69999999999999</v>
      </c>
      <c r="J2268">
        <v>100</v>
      </c>
      <c r="K2268">
        <v>100</v>
      </c>
      <c r="L2268" s="1" t="s">
        <v>5418</v>
      </c>
      <c r="M2268" t="s">
        <v>53</v>
      </c>
      <c r="N2268">
        <v>2</v>
      </c>
    </row>
    <row r="2269" spans="1:14" x14ac:dyDescent="0.25">
      <c r="A2269" s="3" t="str">
        <f>HYPERLINK("http://www.ncbi.nlm.nih.gov/gene/200879","200879")</f>
        <v>200879</v>
      </c>
      <c r="B2269" s="1" t="s">
        <v>5420</v>
      </c>
      <c r="C2269" t="s">
        <v>5421</v>
      </c>
      <c r="D2269">
        <v>140.4</v>
      </c>
      <c r="E2269">
        <v>147.19999999999999</v>
      </c>
      <c r="F2269">
        <v>100</v>
      </c>
      <c r="G2269">
        <v>99.8</v>
      </c>
      <c r="H2269">
        <v>144</v>
      </c>
      <c r="I2269">
        <v>147.9</v>
      </c>
      <c r="J2269">
        <v>100</v>
      </c>
      <c r="K2269">
        <v>100</v>
      </c>
      <c r="L2269" s="1" t="s">
        <v>5420</v>
      </c>
      <c r="M2269" t="s">
        <v>246</v>
      </c>
      <c r="N2269">
        <v>3</v>
      </c>
    </row>
    <row r="2270" spans="1:14" x14ac:dyDescent="0.25">
      <c r="A2270" s="3" t="str">
        <f>HYPERLINK("http://www.ncbi.nlm.nih.gov/gene/643418","643418")</f>
        <v>643418</v>
      </c>
      <c r="B2270" s="1" t="s">
        <v>5422</v>
      </c>
      <c r="C2270" t="s">
        <v>5423</v>
      </c>
      <c r="D2270">
        <v>130.19999999999999</v>
      </c>
      <c r="E2270">
        <v>136</v>
      </c>
      <c r="F2270">
        <v>100</v>
      </c>
      <c r="G2270">
        <v>98.9</v>
      </c>
      <c r="H2270">
        <v>131.19999999999999</v>
      </c>
      <c r="I2270">
        <v>135.69999999999999</v>
      </c>
      <c r="J2270">
        <v>100</v>
      </c>
      <c r="K2270">
        <v>100</v>
      </c>
      <c r="L2270" s="1" t="s">
        <v>5422</v>
      </c>
      <c r="M2270" t="s">
        <v>246</v>
      </c>
      <c r="N2270">
        <v>3</v>
      </c>
    </row>
    <row r="2271" spans="1:14" x14ac:dyDescent="0.25">
      <c r="A2271" s="3" t="str">
        <f>HYPERLINK("http://www.ncbi.nlm.nih.gov/gene/51601","51601")</f>
        <v>51601</v>
      </c>
      <c r="B2271" s="1" t="s">
        <v>5424</v>
      </c>
      <c r="C2271" t="s">
        <v>5425</v>
      </c>
      <c r="D2271">
        <v>208.4</v>
      </c>
      <c r="E2271">
        <v>227.5</v>
      </c>
      <c r="F2271">
        <v>100</v>
      </c>
      <c r="G2271">
        <v>99.9</v>
      </c>
      <c r="H2271">
        <v>132.9</v>
      </c>
      <c r="I2271">
        <v>133.4</v>
      </c>
      <c r="J2271">
        <v>100</v>
      </c>
      <c r="K2271">
        <v>100</v>
      </c>
      <c r="L2271" s="1" t="s">
        <v>5424</v>
      </c>
      <c r="M2271" t="s">
        <v>2287</v>
      </c>
      <c r="N2271">
        <v>4</v>
      </c>
    </row>
    <row r="2272" spans="1:14" x14ac:dyDescent="0.25">
      <c r="A2272" s="3" t="str">
        <f>HYPERLINK("http://www.ncbi.nlm.nih.gov/gene/387787","387787")</f>
        <v>387787</v>
      </c>
      <c r="B2272" s="1" t="s">
        <v>5426</v>
      </c>
      <c r="D2272">
        <v>71.7</v>
      </c>
      <c r="E2272">
        <v>70</v>
      </c>
      <c r="F2272">
        <v>94.9</v>
      </c>
      <c r="G2272">
        <v>75.2</v>
      </c>
      <c r="H2272">
        <v>121.3</v>
      </c>
      <c r="I2272">
        <v>120.5</v>
      </c>
      <c r="J2272">
        <v>100</v>
      </c>
      <c r="K2272">
        <v>100</v>
      </c>
      <c r="L2272" s="1" t="s">
        <v>5426</v>
      </c>
      <c r="M2272" t="s">
        <v>2287</v>
      </c>
      <c r="N2272">
        <v>4</v>
      </c>
    </row>
    <row r="2273" spans="1:14" x14ac:dyDescent="0.25">
      <c r="A2273" s="3" t="str">
        <f>HYPERLINK("http://www.ncbi.nlm.nih.gov/gene/9516","9516")</f>
        <v>9516</v>
      </c>
      <c r="B2273" s="1" t="s">
        <v>5427</v>
      </c>
      <c r="C2273" t="s">
        <v>5428</v>
      </c>
      <c r="D2273">
        <v>123.3</v>
      </c>
      <c r="E2273">
        <v>130.19999999999999</v>
      </c>
      <c r="F2273">
        <v>98.2</v>
      </c>
      <c r="G2273">
        <v>92.7</v>
      </c>
      <c r="H2273">
        <v>144.5</v>
      </c>
      <c r="I2273">
        <v>150.6</v>
      </c>
      <c r="J2273">
        <v>100</v>
      </c>
      <c r="K2273">
        <v>100</v>
      </c>
      <c r="L2273" s="1" t="s">
        <v>5427</v>
      </c>
      <c r="M2273" t="s">
        <v>718</v>
      </c>
      <c r="N2273">
        <v>2</v>
      </c>
    </row>
    <row r="2274" spans="1:14" x14ac:dyDescent="0.25">
      <c r="A2274" s="3" t="str">
        <f>HYPERLINK("http://www.ncbi.nlm.nih.gov/gene/3998","3998")</f>
        <v>3998</v>
      </c>
      <c r="B2274" s="1" t="s">
        <v>5429</v>
      </c>
      <c r="C2274" t="s">
        <v>5430</v>
      </c>
      <c r="D2274">
        <v>161</v>
      </c>
      <c r="E2274">
        <v>166.8</v>
      </c>
      <c r="F2274">
        <v>99.8</v>
      </c>
      <c r="G2274">
        <v>99.2</v>
      </c>
      <c r="H2274">
        <v>143.5</v>
      </c>
      <c r="I2274">
        <v>149.1</v>
      </c>
      <c r="J2274">
        <v>100</v>
      </c>
      <c r="K2274">
        <v>100</v>
      </c>
      <c r="L2274" s="1" t="s">
        <v>5429</v>
      </c>
      <c r="M2274" t="s">
        <v>606</v>
      </c>
      <c r="N2274">
        <v>3</v>
      </c>
    </row>
    <row r="2275" spans="1:14" x14ac:dyDescent="0.25">
      <c r="A2275" s="3" t="str">
        <f>HYPERLINK("http://www.ncbi.nlm.nih.gov/gene/81562","81562")</f>
        <v>81562</v>
      </c>
      <c r="B2275" s="1" t="s">
        <v>5431</v>
      </c>
      <c r="C2275" t="s">
        <v>5432</v>
      </c>
      <c r="D2275">
        <v>133.19999999999999</v>
      </c>
      <c r="E2275">
        <v>139.19999999999999</v>
      </c>
      <c r="F2275">
        <v>100</v>
      </c>
      <c r="G2275">
        <v>99.7</v>
      </c>
      <c r="H2275">
        <v>138.19999999999999</v>
      </c>
      <c r="I2275">
        <v>142.19999999999999</v>
      </c>
      <c r="J2275">
        <v>100</v>
      </c>
      <c r="K2275">
        <v>100</v>
      </c>
      <c r="L2275" s="1" t="s">
        <v>5431</v>
      </c>
      <c r="M2275" t="s">
        <v>228</v>
      </c>
      <c r="N2275">
        <v>3</v>
      </c>
    </row>
    <row r="2276" spans="1:14" x14ac:dyDescent="0.25">
      <c r="A2276" s="3" t="str">
        <f>HYPERLINK("http://www.ncbi.nlm.nih.gov/gene/64327","64327")</f>
        <v>64327</v>
      </c>
      <c r="B2276" s="1" t="s">
        <v>5433</v>
      </c>
      <c r="C2276" t="s">
        <v>5434</v>
      </c>
      <c r="D2276">
        <v>134.19999999999999</v>
      </c>
      <c r="E2276">
        <v>137.1</v>
      </c>
      <c r="F2276">
        <v>98.1</v>
      </c>
      <c r="G2276">
        <v>96.2</v>
      </c>
      <c r="H2276">
        <v>118.8</v>
      </c>
      <c r="I2276">
        <v>121.4</v>
      </c>
      <c r="J2276">
        <v>98.7</v>
      </c>
      <c r="K2276">
        <v>98.7</v>
      </c>
      <c r="L2276" s="1" t="s">
        <v>5433</v>
      </c>
      <c r="M2276" t="s">
        <v>569</v>
      </c>
      <c r="N2276">
        <v>2</v>
      </c>
    </row>
    <row r="2277" spans="1:14" x14ac:dyDescent="0.25">
      <c r="A2277" s="3" t="str">
        <f>HYPERLINK("http://www.ncbi.nlm.nih.gov/gene/55788","55788")</f>
        <v>55788</v>
      </c>
      <c r="B2277" s="1" t="s">
        <v>5435</v>
      </c>
      <c r="C2277" t="s">
        <v>5436</v>
      </c>
      <c r="D2277">
        <v>109.4</v>
      </c>
      <c r="E2277">
        <v>114.6</v>
      </c>
      <c r="F2277">
        <v>94.7</v>
      </c>
      <c r="G2277">
        <v>90.2</v>
      </c>
      <c r="H2277">
        <v>109.9</v>
      </c>
      <c r="I2277">
        <v>112.8</v>
      </c>
      <c r="J2277">
        <v>96.1</v>
      </c>
      <c r="K2277">
        <v>96.1</v>
      </c>
      <c r="L2277" s="1" t="s">
        <v>5435</v>
      </c>
      <c r="M2277" t="s">
        <v>422</v>
      </c>
      <c r="N2277">
        <v>4</v>
      </c>
    </row>
    <row r="2278" spans="1:14" x14ac:dyDescent="0.25">
      <c r="A2278" s="3" t="str">
        <f>HYPERLINK("http://www.ncbi.nlm.nih.gov/gene/64788","64788")</f>
        <v>64788</v>
      </c>
      <c r="B2278" s="1" t="s">
        <v>5437</v>
      </c>
      <c r="C2278" t="s">
        <v>5438</v>
      </c>
      <c r="D2278">
        <v>133.4</v>
      </c>
      <c r="E2278">
        <v>139.9</v>
      </c>
      <c r="F2278">
        <v>100</v>
      </c>
      <c r="G2278">
        <v>99.6</v>
      </c>
      <c r="H2278">
        <v>148.1</v>
      </c>
      <c r="I2278">
        <v>152.80000000000001</v>
      </c>
      <c r="J2278">
        <v>100</v>
      </c>
      <c r="K2278">
        <v>100</v>
      </c>
      <c r="L2278" s="1" t="s">
        <v>5437</v>
      </c>
      <c r="M2278" t="s">
        <v>116</v>
      </c>
      <c r="N2278">
        <v>3</v>
      </c>
    </row>
    <row r="2279" spans="1:14" x14ac:dyDescent="0.25">
      <c r="A2279" s="3" t="str">
        <f>HYPERLINK("http://www.ncbi.nlm.nih.gov/gene/4000","4000")</f>
        <v>4000</v>
      </c>
      <c r="B2279" s="1" t="s">
        <v>5439</v>
      </c>
      <c r="C2279" t="s">
        <v>5440</v>
      </c>
      <c r="D2279">
        <v>93.2</v>
      </c>
      <c r="E2279">
        <v>97.4</v>
      </c>
      <c r="F2279">
        <v>97.4</v>
      </c>
      <c r="G2279">
        <v>91.9</v>
      </c>
      <c r="H2279">
        <v>127.4</v>
      </c>
      <c r="I2279">
        <v>130.5</v>
      </c>
      <c r="J2279">
        <v>100</v>
      </c>
      <c r="K2279">
        <v>100</v>
      </c>
      <c r="L2279" s="1" t="s">
        <v>5439</v>
      </c>
      <c r="M2279" t="s">
        <v>5441</v>
      </c>
      <c r="N2279">
        <v>8</v>
      </c>
    </row>
    <row r="2280" spans="1:14" x14ac:dyDescent="0.25">
      <c r="A2280" s="3" t="str">
        <f>HYPERLINK("http://www.ncbi.nlm.nih.gov/gene/4001","4001")</f>
        <v>4001</v>
      </c>
      <c r="B2280" s="1" t="s">
        <v>5442</v>
      </c>
      <c r="C2280" t="s">
        <v>5443</v>
      </c>
      <c r="D2280">
        <v>113.5</v>
      </c>
      <c r="E2280">
        <v>116.4</v>
      </c>
      <c r="F2280">
        <v>99.9</v>
      </c>
      <c r="G2280">
        <v>98.9</v>
      </c>
      <c r="H2280">
        <v>124.4</v>
      </c>
      <c r="I2280">
        <v>129.19999999999999</v>
      </c>
      <c r="J2280">
        <v>100</v>
      </c>
      <c r="K2280">
        <v>100</v>
      </c>
      <c r="L2280" s="1" t="s">
        <v>5442</v>
      </c>
      <c r="M2280" t="s">
        <v>600</v>
      </c>
      <c r="N2280">
        <v>2</v>
      </c>
    </row>
    <row r="2281" spans="1:14" x14ac:dyDescent="0.25">
      <c r="A2281" s="3" t="str">
        <f>HYPERLINK("http://www.ncbi.nlm.nih.gov/gene/84823","84823")</f>
        <v>84823</v>
      </c>
      <c r="B2281" s="1" t="s">
        <v>5444</v>
      </c>
      <c r="C2281" t="s">
        <v>5445</v>
      </c>
      <c r="D2281">
        <v>123.9</v>
      </c>
      <c r="E2281">
        <v>125.7</v>
      </c>
      <c r="F2281">
        <v>97.5</v>
      </c>
      <c r="G2281">
        <v>94.3</v>
      </c>
      <c r="H2281">
        <v>141.4</v>
      </c>
      <c r="I2281">
        <v>146.19999999999999</v>
      </c>
      <c r="J2281">
        <v>98.2</v>
      </c>
      <c r="K2281">
        <v>96.9</v>
      </c>
      <c r="L2281" s="1" t="s">
        <v>5444</v>
      </c>
      <c r="M2281" t="s">
        <v>53</v>
      </c>
      <c r="N2281">
        <v>2</v>
      </c>
    </row>
    <row r="2282" spans="1:14" x14ac:dyDescent="0.25">
      <c r="A2282" s="3" t="str">
        <f>HYPERLINK("http://www.ncbi.nlm.nih.gov/gene/25802","25802")</f>
        <v>25802</v>
      </c>
      <c r="B2282" s="1" t="s">
        <v>5446</v>
      </c>
      <c r="C2282" t="s">
        <v>5447</v>
      </c>
      <c r="D2282">
        <v>162.4</v>
      </c>
      <c r="E2282">
        <v>157.1</v>
      </c>
      <c r="F2282">
        <v>100</v>
      </c>
      <c r="G2282">
        <v>100</v>
      </c>
      <c r="H2282">
        <v>177.5</v>
      </c>
      <c r="I2282">
        <v>181</v>
      </c>
      <c r="J2282">
        <v>100</v>
      </c>
      <c r="K2282">
        <v>100</v>
      </c>
      <c r="L2282" s="1" t="s">
        <v>5446</v>
      </c>
      <c r="M2282" t="s">
        <v>741</v>
      </c>
      <c r="N2282">
        <v>3</v>
      </c>
    </row>
    <row r="2283" spans="1:14" x14ac:dyDescent="0.25">
      <c r="A2283" s="3" t="str">
        <f>HYPERLINK("http://www.ncbi.nlm.nih.gov/gene/56203","56203")</f>
        <v>56203</v>
      </c>
      <c r="B2283" s="1" t="s">
        <v>5448</v>
      </c>
      <c r="C2283" t="s">
        <v>5449</v>
      </c>
      <c r="D2283">
        <v>163.6</v>
      </c>
      <c r="E2283">
        <v>159.80000000000001</v>
      </c>
      <c r="F2283">
        <v>100</v>
      </c>
      <c r="G2283">
        <v>99.7</v>
      </c>
      <c r="H2283">
        <v>167.8</v>
      </c>
      <c r="I2283">
        <v>169.2</v>
      </c>
      <c r="J2283">
        <v>100</v>
      </c>
      <c r="K2283">
        <v>100</v>
      </c>
      <c r="L2283" s="1" t="s">
        <v>5448</v>
      </c>
      <c r="M2283" t="s">
        <v>1147</v>
      </c>
      <c r="N2283">
        <v>4</v>
      </c>
    </row>
    <row r="2284" spans="1:14" x14ac:dyDescent="0.25">
      <c r="A2284" s="3" t="str">
        <f>HYPERLINK("http://www.ncbi.nlm.nih.gov/gene/4009","4009")</f>
        <v>4009</v>
      </c>
      <c r="B2284" s="1" t="s">
        <v>5450</v>
      </c>
      <c r="C2284" t="s">
        <v>5451</v>
      </c>
      <c r="D2284">
        <v>110.1</v>
      </c>
      <c r="E2284">
        <v>113.7</v>
      </c>
      <c r="F2284">
        <v>100</v>
      </c>
      <c r="G2284">
        <v>100</v>
      </c>
      <c r="H2284">
        <v>151</v>
      </c>
      <c r="I2284">
        <v>155.69999999999999</v>
      </c>
      <c r="J2284">
        <v>100</v>
      </c>
      <c r="K2284">
        <v>100</v>
      </c>
      <c r="L2284" s="1" t="s">
        <v>5450</v>
      </c>
      <c r="M2284" t="s">
        <v>76</v>
      </c>
      <c r="N2284">
        <v>2</v>
      </c>
    </row>
    <row r="2285" spans="1:14" x14ac:dyDescent="0.25">
      <c r="A2285" s="3" t="str">
        <f>HYPERLINK("http://www.ncbi.nlm.nih.gov/gene/4010","4010")</f>
        <v>4010</v>
      </c>
      <c r="B2285" s="1" t="s">
        <v>5452</v>
      </c>
      <c r="C2285" t="s">
        <v>5453</v>
      </c>
      <c r="D2285">
        <v>139.6</v>
      </c>
      <c r="E2285">
        <v>146.19999999999999</v>
      </c>
      <c r="F2285">
        <v>99.6</v>
      </c>
      <c r="G2285">
        <v>96.3</v>
      </c>
      <c r="H2285">
        <v>153.80000000000001</v>
      </c>
      <c r="I2285">
        <v>159</v>
      </c>
      <c r="J2285">
        <v>100</v>
      </c>
      <c r="K2285">
        <v>100</v>
      </c>
      <c r="L2285" s="1" t="s">
        <v>5452</v>
      </c>
      <c r="M2285" t="s">
        <v>5454</v>
      </c>
      <c r="N2285">
        <v>4</v>
      </c>
    </row>
    <row r="2286" spans="1:14" x14ac:dyDescent="0.25">
      <c r="A2286" s="3" t="str">
        <f>HYPERLINK("http://www.ncbi.nlm.nih.gov/gene/80856","80856")</f>
        <v>80856</v>
      </c>
      <c r="B2286" s="1" t="s">
        <v>5455</v>
      </c>
      <c r="C2286" t="s">
        <v>5456</v>
      </c>
      <c r="D2286">
        <v>98.4</v>
      </c>
      <c r="E2286">
        <v>103.6</v>
      </c>
      <c r="F2286">
        <v>98.4</v>
      </c>
      <c r="G2286">
        <v>92.8</v>
      </c>
      <c r="H2286">
        <v>127.1</v>
      </c>
      <c r="I2286">
        <v>131.30000000000001</v>
      </c>
      <c r="J2286">
        <v>93.3</v>
      </c>
      <c r="K2286">
        <v>93.3</v>
      </c>
      <c r="L2286" s="1" t="s">
        <v>5455</v>
      </c>
      <c r="M2286" t="s">
        <v>53</v>
      </c>
      <c r="N2286">
        <v>2</v>
      </c>
    </row>
    <row r="2287" spans="1:14" x14ac:dyDescent="0.25">
      <c r="A2287" s="3" t="str">
        <f>HYPERLINK("http://www.ncbi.nlm.nih.gov/gene/9361","9361")</f>
        <v>9361</v>
      </c>
      <c r="B2287" s="1" t="s">
        <v>5457</v>
      </c>
      <c r="C2287" t="s">
        <v>5458</v>
      </c>
      <c r="D2287">
        <v>137.4</v>
      </c>
      <c r="E2287">
        <v>141.9</v>
      </c>
      <c r="F2287">
        <v>100</v>
      </c>
      <c r="G2287">
        <v>99.8</v>
      </c>
      <c r="H2287">
        <v>141.19999999999999</v>
      </c>
      <c r="I2287">
        <v>144.4</v>
      </c>
      <c r="J2287">
        <v>100</v>
      </c>
      <c r="K2287">
        <v>100</v>
      </c>
      <c r="L2287" s="1" t="s">
        <v>5457</v>
      </c>
      <c r="M2287" t="s">
        <v>5459</v>
      </c>
      <c r="N2287">
        <v>6</v>
      </c>
    </row>
    <row r="2288" spans="1:14" x14ac:dyDescent="0.25">
      <c r="A2288" s="3" t="str">
        <f>HYPERLINK("http://www.ncbi.nlm.nih.gov/gene/4014","4014")</f>
        <v>4014</v>
      </c>
      <c r="B2288" s="1" t="s">
        <v>5460</v>
      </c>
      <c r="C2288" t="s">
        <v>5461</v>
      </c>
      <c r="D2288">
        <v>50.4</v>
      </c>
      <c r="E2288">
        <v>29.1</v>
      </c>
      <c r="F2288">
        <v>99</v>
      </c>
      <c r="G2288">
        <v>80.8</v>
      </c>
      <c r="H2288">
        <v>192.2</v>
      </c>
      <c r="I2288">
        <v>192.4</v>
      </c>
      <c r="J2288">
        <v>100</v>
      </c>
      <c r="K2288">
        <v>100</v>
      </c>
      <c r="L2288" s="1" t="s">
        <v>5460</v>
      </c>
      <c r="M2288" t="s">
        <v>29</v>
      </c>
      <c r="N2288">
        <v>2</v>
      </c>
    </row>
    <row r="2289" spans="1:14" x14ac:dyDescent="0.25">
      <c r="A2289" s="3" t="str">
        <f>HYPERLINK("http://www.ncbi.nlm.nih.gov/gene/4015","4015")</f>
        <v>4015</v>
      </c>
      <c r="B2289" s="1" t="s">
        <v>5462</v>
      </c>
      <c r="C2289" t="s">
        <v>5463</v>
      </c>
      <c r="D2289">
        <v>150.19999999999999</v>
      </c>
      <c r="E2289">
        <v>136.4</v>
      </c>
      <c r="F2289">
        <v>100</v>
      </c>
      <c r="G2289">
        <v>99.6</v>
      </c>
      <c r="H2289">
        <v>131.4</v>
      </c>
      <c r="I2289">
        <v>135.80000000000001</v>
      </c>
      <c r="J2289">
        <v>100</v>
      </c>
      <c r="K2289">
        <v>100</v>
      </c>
      <c r="L2289" s="1" t="s">
        <v>5462</v>
      </c>
      <c r="M2289" t="s">
        <v>741</v>
      </c>
      <c r="N2289">
        <v>3</v>
      </c>
    </row>
    <row r="2290" spans="1:14" x14ac:dyDescent="0.25">
      <c r="A2290" s="3" t="str">
        <f>HYPERLINK("http://www.ncbi.nlm.nih.gov/gene/125336","125336")</f>
        <v>125336</v>
      </c>
      <c r="B2290" s="1" t="s">
        <v>5464</v>
      </c>
      <c r="C2290" t="s">
        <v>5465</v>
      </c>
      <c r="D2290">
        <v>126</v>
      </c>
      <c r="E2290">
        <v>131.1</v>
      </c>
      <c r="F2290">
        <v>100</v>
      </c>
      <c r="G2290">
        <v>99.7</v>
      </c>
      <c r="H2290">
        <v>132.9</v>
      </c>
      <c r="I2290">
        <v>136.19999999999999</v>
      </c>
      <c r="J2290">
        <v>100</v>
      </c>
      <c r="K2290">
        <v>100</v>
      </c>
      <c r="L2290" s="1" t="s">
        <v>5464</v>
      </c>
      <c r="M2290" t="s">
        <v>269</v>
      </c>
      <c r="N2290">
        <v>3</v>
      </c>
    </row>
    <row r="2291" spans="1:14" x14ac:dyDescent="0.25">
      <c r="A2291" s="3" t="str">
        <f>HYPERLINK("http://www.ncbi.nlm.nih.gov/gene/84695","84695")</f>
        <v>84695</v>
      </c>
      <c r="B2291" s="1" t="s">
        <v>5466</v>
      </c>
      <c r="C2291" t="s">
        <v>5467</v>
      </c>
      <c r="D2291">
        <v>153.4</v>
      </c>
      <c r="E2291">
        <v>156.4</v>
      </c>
      <c r="F2291">
        <v>100</v>
      </c>
      <c r="G2291">
        <v>99.2</v>
      </c>
      <c r="H2291">
        <v>156.19999999999999</v>
      </c>
      <c r="I2291">
        <v>161.30000000000001</v>
      </c>
      <c r="J2291">
        <v>100</v>
      </c>
      <c r="K2291">
        <v>100</v>
      </c>
      <c r="L2291" s="1" t="s">
        <v>5466</v>
      </c>
      <c r="M2291" t="s">
        <v>1120</v>
      </c>
      <c r="N2291">
        <v>2</v>
      </c>
    </row>
    <row r="2292" spans="1:14" x14ac:dyDescent="0.25">
      <c r="A2292" s="3" t="str">
        <f>HYPERLINK("http://www.ncbi.nlm.nih.gov/gene/4018","4018")</f>
        <v>4018</v>
      </c>
      <c r="B2292" s="1" t="s">
        <v>5468</v>
      </c>
      <c r="C2292" t="s">
        <v>5469</v>
      </c>
      <c r="D2292">
        <v>98.5</v>
      </c>
      <c r="E2292">
        <v>100.5</v>
      </c>
      <c r="F2292">
        <v>98.8</v>
      </c>
      <c r="G2292">
        <v>97.2</v>
      </c>
      <c r="H2292">
        <v>413.6</v>
      </c>
      <c r="I2292">
        <v>430.8</v>
      </c>
      <c r="J2292">
        <v>100</v>
      </c>
      <c r="K2292">
        <v>100</v>
      </c>
      <c r="L2292" s="1" t="s">
        <v>5468</v>
      </c>
      <c r="M2292" t="s">
        <v>661</v>
      </c>
      <c r="N2292">
        <v>2</v>
      </c>
    </row>
    <row r="2293" spans="1:14" x14ac:dyDescent="0.25">
      <c r="A2293" s="3" t="str">
        <f>HYPERLINK("http://www.ncbi.nlm.nih.gov/gene/10161","10161")</f>
        <v>10161</v>
      </c>
      <c r="B2293" s="1" t="s">
        <v>5470</v>
      </c>
      <c r="C2293" t="s">
        <v>5471</v>
      </c>
      <c r="D2293">
        <v>123.6</v>
      </c>
      <c r="E2293">
        <v>106.9</v>
      </c>
      <c r="F2293">
        <v>99.6</v>
      </c>
      <c r="G2293">
        <v>97.8</v>
      </c>
      <c r="H2293">
        <v>133</v>
      </c>
      <c r="I2293">
        <v>132.6</v>
      </c>
      <c r="J2293">
        <v>100</v>
      </c>
      <c r="K2293">
        <v>100</v>
      </c>
      <c r="L2293" s="1" t="s">
        <v>5470</v>
      </c>
      <c r="M2293" t="s">
        <v>246</v>
      </c>
      <c r="N2293">
        <v>3</v>
      </c>
    </row>
    <row r="2294" spans="1:14" x14ac:dyDescent="0.25">
      <c r="A2294" s="3" t="str">
        <f>HYPERLINK("http://www.ncbi.nlm.nih.gov/gene/23175","23175")</f>
        <v>23175</v>
      </c>
      <c r="B2294" s="1" t="s">
        <v>5472</v>
      </c>
      <c r="C2294" t="s">
        <v>5473</v>
      </c>
      <c r="D2294">
        <v>139.4</v>
      </c>
      <c r="E2294">
        <v>147</v>
      </c>
      <c r="F2294">
        <v>99.6</v>
      </c>
      <c r="G2294">
        <v>97.3</v>
      </c>
      <c r="H2294">
        <v>137.30000000000001</v>
      </c>
      <c r="I2294">
        <v>140.4</v>
      </c>
      <c r="J2294">
        <v>100</v>
      </c>
      <c r="K2294">
        <v>100</v>
      </c>
      <c r="L2294" s="1" t="s">
        <v>5472</v>
      </c>
      <c r="M2294" t="s">
        <v>3934</v>
      </c>
      <c r="N2294">
        <v>4</v>
      </c>
    </row>
    <row r="2295" spans="1:14" x14ac:dyDescent="0.25">
      <c r="A2295" s="3" t="str">
        <f>HYPERLINK("http://www.ncbi.nlm.nih.gov/gene/9663","9663")</f>
        <v>9663</v>
      </c>
      <c r="B2295" s="1" t="s">
        <v>5474</v>
      </c>
      <c r="D2295">
        <v>114</v>
      </c>
      <c r="E2295">
        <v>119</v>
      </c>
      <c r="F2295">
        <v>100</v>
      </c>
      <c r="G2295">
        <v>100</v>
      </c>
      <c r="H2295">
        <v>134.9</v>
      </c>
      <c r="I2295">
        <v>138.69999999999999</v>
      </c>
      <c r="J2295">
        <v>100</v>
      </c>
      <c r="K2295">
        <v>100</v>
      </c>
      <c r="L2295" s="1" t="s">
        <v>5474</v>
      </c>
      <c r="M2295" t="s">
        <v>5475</v>
      </c>
      <c r="N2295">
        <v>7</v>
      </c>
    </row>
    <row r="2296" spans="1:14" x14ac:dyDescent="0.25">
      <c r="A2296" s="3" t="str">
        <f>HYPERLINK("http://www.ncbi.nlm.nih.gov/gene/4023","4023")</f>
        <v>4023</v>
      </c>
      <c r="B2296" s="1" t="s">
        <v>5476</v>
      </c>
      <c r="C2296" t="s">
        <v>5477</v>
      </c>
      <c r="D2296">
        <v>148.1</v>
      </c>
      <c r="E2296">
        <v>154.1</v>
      </c>
      <c r="F2296">
        <v>100</v>
      </c>
      <c r="G2296">
        <v>100</v>
      </c>
      <c r="H2296">
        <v>129.69999999999999</v>
      </c>
      <c r="I2296">
        <v>133.80000000000001</v>
      </c>
      <c r="J2296">
        <v>100</v>
      </c>
      <c r="K2296">
        <v>100</v>
      </c>
      <c r="L2296" s="1" t="s">
        <v>5476</v>
      </c>
      <c r="M2296" t="s">
        <v>5478</v>
      </c>
      <c r="N2296">
        <v>4</v>
      </c>
    </row>
    <row r="2297" spans="1:14" x14ac:dyDescent="0.25">
      <c r="A2297" s="3" t="str">
        <f>HYPERLINK("http://www.ncbi.nlm.nih.gov/gene/4026","4026")</f>
        <v>4026</v>
      </c>
      <c r="B2297" s="1" t="s">
        <v>5479</v>
      </c>
      <c r="D2297">
        <v>123.4</v>
      </c>
      <c r="E2297">
        <v>126.6</v>
      </c>
      <c r="F2297">
        <v>100</v>
      </c>
      <c r="G2297">
        <v>100</v>
      </c>
      <c r="H2297">
        <v>168.5</v>
      </c>
      <c r="I2297">
        <v>173.2</v>
      </c>
      <c r="J2297">
        <v>100</v>
      </c>
      <c r="K2297">
        <v>100</v>
      </c>
      <c r="L2297" s="1" t="s">
        <v>5479</v>
      </c>
      <c r="M2297" t="s">
        <v>22</v>
      </c>
      <c r="N2297">
        <v>1</v>
      </c>
    </row>
    <row r="2298" spans="1:14" x14ac:dyDescent="0.25">
      <c r="A2298" s="3" t="str">
        <f>HYPERLINK("http://www.ncbi.nlm.nih.gov/gene/9227","9227")</f>
        <v>9227</v>
      </c>
      <c r="B2298" s="1" t="s">
        <v>5480</v>
      </c>
      <c r="C2298" t="s">
        <v>5481</v>
      </c>
      <c r="D2298">
        <v>277.3</v>
      </c>
      <c r="E2298">
        <v>283.89999999999998</v>
      </c>
      <c r="F2298">
        <v>100</v>
      </c>
      <c r="G2298">
        <v>100</v>
      </c>
      <c r="H2298">
        <v>156</v>
      </c>
      <c r="I2298">
        <v>161.19999999999999</v>
      </c>
      <c r="J2298">
        <v>100</v>
      </c>
      <c r="K2298">
        <v>100</v>
      </c>
      <c r="L2298" s="1" t="s">
        <v>5480</v>
      </c>
      <c r="M2298" t="s">
        <v>436</v>
      </c>
      <c r="N2298">
        <v>4</v>
      </c>
    </row>
    <row r="2299" spans="1:14" x14ac:dyDescent="0.25">
      <c r="A2299" s="3" t="str">
        <f>HYPERLINK("http://www.ncbi.nlm.nih.gov/gene/987","987")</f>
        <v>987</v>
      </c>
      <c r="B2299" s="1" t="s">
        <v>5482</v>
      </c>
      <c r="C2299" t="s">
        <v>5483</v>
      </c>
      <c r="D2299">
        <v>151.4</v>
      </c>
      <c r="E2299">
        <v>154.30000000000001</v>
      </c>
      <c r="F2299">
        <v>99.9</v>
      </c>
      <c r="G2299">
        <v>99.6</v>
      </c>
      <c r="H2299">
        <v>134.6</v>
      </c>
      <c r="I2299">
        <v>138.4</v>
      </c>
      <c r="J2299">
        <v>100</v>
      </c>
      <c r="K2299">
        <v>100</v>
      </c>
      <c r="L2299" s="1" t="s">
        <v>5482</v>
      </c>
      <c r="M2299" t="s">
        <v>1097</v>
      </c>
      <c r="N2299">
        <v>3</v>
      </c>
    </row>
    <row r="2300" spans="1:14" x14ac:dyDescent="0.25">
      <c r="A2300" s="3" t="str">
        <f>HYPERLINK("http://www.ncbi.nlm.nih.gov/gene/9860","9860")</f>
        <v>9860</v>
      </c>
      <c r="B2300" s="1" t="s">
        <v>5484</v>
      </c>
      <c r="C2300" t="s">
        <v>5485</v>
      </c>
      <c r="D2300">
        <v>140.80000000000001</v>
      </c>
      <c r="E2300">
        <v>147.5</v>
      </c>
      <c r="F2300">
        <v>99.6</v>
      </c>
      <c r="G2300">
        <v>98.8</v>
      </c>
      <c r="H2300">
        <v>143.69999999999999</v>
      </c>
      <c r="I2300">
        <v>149.30000000000001</v>
      </c>
      <c r="J2300">
        <v>100</v>
      </c>
      <c r="K2300">
        <v>100</v>
      </c>
      <c r="L2300" s="1" t="s">
        <v>5484</v>
      </c>
      <c r="M2300" t="s">
        <v>357</v>
      </c>
      <c r="N2300">
        <v>3</v>
      </c>
    </row>
    <row r="2301" spans="1:14" x14ac:dyDescent="0.25">
      <c r="A2301" s="3" t="str">
        <f>HYPERLINK("http://www.ncbi.nlm.nih.gov/gene/121227","121227")</f>
        <v>121227</v>
      </c>
      <c r="B2301" s="1" t="s">
        <v>5486</v>
      </c>
      <c r="C2301" t="s">
        <v>5487</v>
      </c>
      <c r="D2301">
        <v>181.2</v>
      </c>
      <c r="E2301">
        <v>187.6</v>
      </c>
      <c r="F2301">
        <v>99.8</v>
      </c>
      <c r="G2301">
        <v>98.8</v>
      </c>
      <c r="H2301">
        <v>151.9</v>
      </c>
      <c r="I2301">
        <v>155.80000000000001</v>
      </c>
      <c r="J2301">
        <v>100</v>
      </c>
      <c r="K2301">
        <v>99.8</v>
      </c>
      <c r="L2301" s="1" t="s">
        <v>5486</v>
      </c>
      <c r="M2301" t="s">
        <v>718</v>
      </c>
      <c r="N2301">
        <v>2</v>
      </c>
    </row>
    <row r="2302" spans="1:14" x14ac:dyDescent="0.25">
      <c r="A2302" s="3" t="str">
        <f>HYPERLINK("http://www.ncbi.nlm.nih.gov/gene/345193","345193")</f>
        <v>345193</v>
      </c>
      <c r="B2302" s="1" t="s">
        <v>5488</v>
      </c>
      <c r="C2302" t="s">
        <v>5489</v>
      </c>
      <c r="D2302">
        <v>115.4</v>
      </c>
      <c r="E2302">
        <v>116.1</v>
      </c>
      <c r="F2302">
        <v>93.9</v>
      </c>
      <c r="G2302">
        <v>91.9</v>
      </c>
      <c r="H2302">
        <v>146.9</v>
      </c>
      <c r="I2302">
        <v>148.19999999999999</v>
      </c>
      <c r="J2302">
        <v>100</v>
      </c>
      <c r="K2302">
        <v>100</v>
      </c>
      <c r="L2302" s="1" t="s">
        <v>5488</v>
      </c>
      <c r="M2302" t="s">
        <v>56</v>
      </c>
      <c r="N2302">
        <v>3</v>
      </c>
    </row>
    <row r="2303" spans="1:14" x14ac:dyDescent="0.25">
      <c r="A2303" s="3" t="str">
        <f>HYPERLINK("http://www.ncbi.nlm.nih.gov/gene/83938","83938")</f>
        <v>83938</v>
      </c>
      <c r="B2303" s="1" t="s">
        <v>5490</v>
      </c>
      <c r="C2303" t="s">
        <v>5491</v>
      </c>
      <c r="D2303">
        <v>140.19999999999999</v>
      </c>
      <c r="E2303">
        <v>143.30000000000001</v>
      </c>
      <c r="F2303">
        <v>96.8</v>
      </c>
      <c r="G2303">
        <v>95.6</v>
      </c>
      <c r="H2303">
        <v>151.4</v>
      </c>
      <c r="I2303">
        <v>155.80000000000001</v>
      </c>
      <c r="J2303">
        <v>99.6</v>
      </c>
      <c r="K2303">
        <v>99.6</v>
      </c>
      <c r="L2303" s="1" t="s">
        <v>5490</v>
      </c>
      <c r="M2303" t="s">
        <v>1633</v>
      </c>
      <c r="N2303">
        <v>4</v>
      </c>
    </row>
    <row r="2304" spans="1:14" x14ac:dyDescent="0.25">
      <c r="A2304" s="3" t="str">
        <f>HYPERLINK("http://www.ncbi.nlm.nih.gov/gene/4035","4035")</f>
        <v>4035</v>
      </c>
      <c r="B2304" s="1" t="s">
        <v>5492</v>
      </c>
      <c r="C2304" t="s">
        <v>5493</v>
      </c>
      <c r="D2304">
        <v>173.9</v>
      </c>
      <c r="E2304">
        <v>182.5</v>
      </c>
      <c r="F2304">
        <v>99.7</v>
      </c>
      <c r="G2304">
        <v>98.9</v>
      </c>
      <c r="H2304">
        <v>141.30000000000001</v>
      </c>
      <c r="I2304">
        <v>145.6</v>
      </c>
      <c r="J2304">
        <v>100</v>
      </c>
      <c r="K2304">
        <v>100</v>
      </c>
      <c r="L2304" s="1" t="s">
        <v>5492</v>
      </c>
      <c r="M2304" t="s">
        <v>5494</v>
      </c>
      <c r="N2304">
        <v>3</v>
      </c>
    </row>
    <row r="2305" spans="1:14" x14ac:dyDescent="0.25">
      <c r="A2305" s="3" t="str">
        <f>HYPERLINK("http://www.ncbi.nlm.nih.gov/gene/29967","29967")</f>
        <v>29967</v>
      </c>
      <c r="B2305" s="1" t="s">
        <v>5495</v>
      </c>
      <c r="C2305" t="s">
        <v>5496</v>
      </c>
      <c r="D2305">
        <v>212.2</v>
      </c>
      <c r="E2305">
        <v>208.6</v>
      </c>
      <c r="F2305">
        <v>100</v>
      </c>
      <c r="G2305">
        <v>99.8</v>
      </c>
      <c r="H2305">
        <v>152.19999999999999</v>
      </c>
      <c r="I2305">
        <v>155.80000000000001</v>
      </c>
      <c r="J2305">
        <v>100</v>
      </c>
      <c r="K2305">
        <v>100</v>
      </c>
      <c r="L2305" s="1" t="s">
        <v>5495</v>
      </c>
      <c r="M2305" t="s">
        <v>4557</v>
      </c>
      <c r="N2305">
        <v>1</v>
      </c>
    </row>
    <row r="2306" spans="1:14" x14ac:dyDescent="0.25">
      <c r="A2306" s="3" t="str">
        <f>HYPERLINK("http://www.ncbi.nlm.nih.gov/gene/4036","4036")</f>
        <v>4036</v>
      </c>
      <c r="B2306" s="1" t="s">
        <v>5497</v>
      </c>
      <c r="C2306" t="s">
        <v>5498</v>
      </c>
      <c r="D2306">
        <v>164</v>
      </c>
      <c r="E2306">
        <v>171</v>
      </c>
      <c r="F2306">
        <v>100</v>
      </c>
      <c r="G2306">
        <v>99.9</v>
      </c>
      <c r="H2306">
        <v>144</v>
      </c>
      <c r="I2306">
        <v>148</v>
      </c>
      <c r="J2306">
        <v>100</v>
      </c>
      <c r="K2306">
        <v>100</v>
      </c>
      <c r="L2306" s="1" t="s">
        <v>5497</v>
      </c>
      <c r="M2306" t="s">
        <v>5499</v>
      </c>
      <c r="N2306">
        <v>7</v>
      </c>
    </row>
    <row r="2307" spans="1:14" x14ac:dyDescent="0.25">
      <c r="A2307" s="3" t="str">
        <f>HYPERLINK("http://www.ncbi.nlm.nih.gov/gene/4038","4038")</f>
        <v>4038</v>
      </c>
      <c r="B2307" s="1" t="s">
        <v>5500</v>
      </c>
      <c r="C2307" t="s">
        <v>5501</v>
      </c>
      <c r="D2307">
        <v>137.5</v>
      </c>
      <c r="E2307">
        <v>143.1</v>
      </c>
      <c r="F2307">
        <v>99.1</v>
      </c>
      <c r="G2307">
        <v>98.8</v>
      </c>
      <c r="H2307">
        <v>137.9</v>
      </c>
      <c r="I2307">
        <v>141.9</v>
      </c>
      <c r="J2307">
        <v>100</v>
      </c>
      <c r="K2307">
        <v>100</v>
      </c>
      <c r="L2307" s="1" t="s">
        <v>5500</v>
      </c>
      <c r="M2307" t="s">
        <v>5502</v>
      </c>
      <c r="N2307">
        <v>4</v>
      </c>
    </row>
    <row r="2308" spans="1:14" x14ac:dyDescent="0.25">
      <c r="A2308" s="3" t="str">
        <f>HYPERLINK("http://www.ncbi.nlm.nih.gov/gene/4041","4041")</f>
        <v>4041</v>
      </c>
      <c r="B2308" s="1" t="s">
        <v>5503</v>
      </c>
      <c r="C2308" t="s">
        <v>5504</v>
      </c>
      <c r="D2308">
        <v>173.5</v>
      </c>
      <c r="E2308">
        <v>179.9</v>
      </c>
      <c r="F2308">
        <v>98.5</v>
      </c>
      <c r="G2308">
        <v>98.1</v>
      </c>
      <c r="H2308">
        <v>155.30000000000001</v>
      </c>
      <c r="I2308">
        <v>160.9</v>
      </c>
      <c r="J2308">
        <v>100</v>
      </c>
      <c r="K2308">
        <v>99.7</v>
      </c>
      <c r="L2308" s="1" t="s">
        <v>5503</v>
      </c>
      <c r="M2308" t="s">
        <v>5505</v>
      </c>
      <c r="N2308">
        <v>7</v>
      </c>
    </row>
    <row r="2309" spans="1:14" x14ac:dyDescent="0.25">
      <c r="A2309" s="3" t="str">
        <f>HYPERLINK("http://www.ncbi.nlm.nih.gov/gene/4040","4040")</f>
        <v>4040</v>
      </c>
      <c r="B2309" s="1" t="s">
        <v>5506</v>
      </c>
      <c r="C2309" t="s">
        <v>5507</v>
      </c>
      <c r="D2309">
        <v>165.7</v>
      </c>
      <c r="E2309">
        <v>171.7</v>
      </c>
      <c r="F2309">
        <v>100</v>
      </c>
      <c r="G2309">
        <v>99.9</v>
      </c>
      <c r="H2309">
        <v>151.19999999999999</v>
      </c>
      <c r="I2309">
        <v>156.30000000000001</v>
      </c>
      <c r="J2309">
        <v>100</v>
      </c>
      <c r="K2309">
        <v>100</v>
      </c>
      <c r="L2309" s="1" t="s">
        <v>5506</v>
      </c>
      <c r="M2309" t="s">
        <v>554</v>
      </c>
      <c r="N2309">
        <v>2</v>
      </c>
    </row>
    <row r="2310" spans="1:14" x14ac:dyDescent="0.25">
      <c r="A2310" s="3" t="str">
        <f>HYPERLINK("http://www.ncbi.nlm.nih.gov/gene/4043","4043")</f>
        <v>4043</v>
      </c>
      <c r="B2310" s="1" t="s">
        <v>5508</v>
      </c>
      <c r="C2310" t="s">
        <v>5509</v>
      </c>
      <c r="D2310">
        <v>115.9</v>
      </c>
      <c r="E2310">
        <v>121.2</v>
      </c>
      <c r="F2310">
        <v>100</v>
      </c>
      <c r="G2310">
        <v>100</v>
      </c>
      <c r="H2310">
        <v>146.9</v>
      </c>
      <c r="I2310">
        <v>150.9</v>
      </c>
      <c r="J2310">
        <v>100</v>
      </c>
      <c r="K2310">
        <v>100</v>
      </c>
      <c r="L2310" s="1" t="s">
        <v>5508</v>
      </c>
      <c r="M2310" t="s">
        <v>56</v>
      </c>
      <c r="N2310">
        <v>3</v>
      </c>
    </row>
    <row r="2311" spans="1:14" x14ac:dyDescent="0.25">
      <c r="A2311" s="3" t="str">
        <f>HYPERLINK("http://www.ncbi.nlm.nih.gov/gene/10128","10128")</f>
        <v>10128</v>
      </c>
      <c r="B2311" s="1" t="s">
        <v>5510</v>
      </c>
      <c r="C2311" t="s">
        <v>5511</v>
      </c>
      <c r="D2311">
        <v>146.69999999999999</v>
      </c>
      <c r="E2311">
        <v>151.5</v>
      </c>
      <c r="F2311">
        <v>99.9</v>
      </c>
      <c r="G2311">
        <v>99.1</v>
      </c>
      <c r="H2311">
        <v>128.19999999999999</v>
      </c>
      <c r="I2311">
        <v>131.80000000000001</v>
      </c>
      <c r="J2311">
        <v>100</v>
      </c>
      <c r="K2311">
        <v>100</v>
      </c>
      <c r="L2311" s="1" t="s">
        <v>5510</v>
      </c>
      <c r="M2311" t="s">
        <v>830</v>
      </c>
      <c r="N2311">
        <v>4</v>
      </c>
    </row>
    <row r="2312" spans="1:14" x14ac:dyDescent="0.25">
      <c r="A2312" s="3" t="str">
        <f>HYPERLINK("http://www.ncbi.nlm.nih.gov/gene/376132","376132")</f>
        <v>376132</v>
      </c>
      <c r="B2312" s="1" t="s">
        <v>5512</v>
      </c>
      <c r="C2312" t="s">
        <v>5513</v>
      </c>
      <c r="D2312">
        <v>176.4</v>
      </c>
      <c r="E2312">
        <v>154.80000000000001</v>
      </c>
      <c r="F2312">
        <v>100</v>
      </c>
      <c r="G2312">
        <v>100</v>
      </c>
      <c r="H2312">
        <v>142.80000000000001</v>
      </c>
      <c r="I2312">
        <v>144.1</v>
      </c>
      <c r="J2312">
        <v>100</v>
      </c>
      <c r="K2312">
        <v>100</v>
      </c>
      <c r="L2312" s="1" t="s">
        <v>5512</v>
      </c>
      <c r="M2312" t="s">
        <v>5165</v>
      </c>
      <c r="N2312">
        <v>2</v>
      </c>
    </row>
    <row r="2313" spans="1:14" x14ac:dyDescent="0.25">
      <c r="A2313" s="3" t="str">
        <f>HYPERLINK("http://www.ncbi.nlm.nih.gov/gene/115399","115399")</f>
        <v>115399</v>
      </c>
      <c r="B2313" s="1" t="s">
        <v>5514</v>
      </c>
      <c r="C2313" t="s">
        <v>5515</v>
      </c>
      <c r="D2313">
        <v>127.9</v>
      </c>
      <c r="E2313">
        <v>126.9</v>
      </c>
      <c r="F2313">
        <v>100</v>
      </c>
      <c r="G2313">
        <v>99</v>
      </c>
      <c r="H2313">
        <v>206.1</v>
      </c>
      <c r="I2313">
        <v>211.4</v>
      </c>
      <c r="J2313">
        <v>100</v>
      </c>
      <c r="K2313">
        <v>100</v>
      </c>
      <c r="L2313" s="1" t="s">
        <v>5514</v>
      </c>
      <c r="M2313" t="s">
        <v>1483</v>
      </c>
      <c r="N2313">
        <v>3</v>
      </c>
    </row>
    <row r="2314" spans="1:14" x14ac:dyDescent="0.25">
      <c r="A2314" s="3" t="str">
        <f>HYPERLINK("http://www.ncbi.nlm.nih.gov/gene/56262","56262")</f>
        <v>56262</v>
      </c>
      <c r="B2314" s="1" t="s">
        <v>5516</v>
      </c>
      <c r="C2314" t="s">
        <v>5517</v>
      </c>
      <c r="D2314">
        <v>247.2</v>
      </c>
      <c r="E2314">
        <v>247.1</v>
      </c>
      <c r="F2314">
        <v>100</v>
      </c>
      <c r="G2314">
        <v>99.8</v>
      </c>
      <c r="H2314">
        <v>163.19999999999999</v>
      </c>
      <c r="I2314">
        <v>164.6</v>
      </c>
      <c r="J2314">
        <v>100</v>
      </c>
      <c r="K2314">
        <v>100</v>
      </c>
      <c r="L2314" s="1" t="s">
        <v>5516</v>
      </c>
      <c r="M2314" t="s">
        <v>562</v>
      </c>
      <c r="N2314">
        <v>2</v>
      </c>
    </row>
    <row r="2315" spans="1:14" x14ac:dyDescent="0.25">
      <c r="A2315" s="3" t="str">
        <f>HYPERLINK("http://www.ncbi.nlm.nih.gov/gene/79705","79705")</f>
        <v>79705</v>
      </c>
      <c r="B2315" s="1" t="s">
        <v>5518</v>
      </c>
      <c r="C2315" t="s">
        <v>5519</v>
      </c>
      <c r="D2315">
        <v>153.1</v>
      </c>
      <c r="E2315">
        <v>160.1</v>
      </c>
      <c r="F2315">
        <v>98.6</v>
      </c>
      <c r="G2315">
        <v>97.5</v>
      </c>
      <c r="H2315">
        <v>148.30000000000001</v>
      </c>
      <c r="I2315">
        <v>152.19999999999999</v>
      </c>
      <c r="J2315">
        <v>100</v>
      </c>
      <c r="K2315">
        <v>100</v>
      </c>
      <c r="L2315" s="1" t="s">
        <v>5518</v>
      </c>
      <c r="M2315" t="s">
        <v>1487</v>
      </c>
      <c r="N2315">
        <v>2</v>
      </c>
    </row>
    <row r="2316" spans="1:14" x14ac:dyDescent="0.25">
      <c r="A2316" s="3" t="str">
        <f>HYPERLINK("http://www.ncbi.nlm.nih.gov/gene/120892","120892")</f>
        <v>120892</v>
      </c>
      <c r="B2316" s="1" t="s">
        <v>5520</v>
      </c>
      <c r="C2316" t="s">
        <v>5521</v>
      </c>
      <c r="D2316">
        <v>134.80000000000001</v>
      </c>
      <c r="E2316">
        <v>140.9</v>
      </c>
      <c r="F2316">
        <v>99.7</v>
      </c>
      <c r="G2316">
        <v>97.8</v>
      </c>
      <c r="H2316">
        <v>121.2</v>
      </c>
      <c r="I2316">
        <v>125.1</v>
      </c>
      <c r="J2316">
        <v>100</v>
      </c>
      <c r="K2316">
        <v>100</v>
      </c>
      <c r="L2316" s="1" t="s">
        <v>5520</v>
      </c>
      <c r="M2316" t="s">
        <v>5522</v>
      </c>
      <c r="N2316">
        <v>2</v>
      </c>
    </row>
    <row r="2317" spans="1:14" x14ac:dyDescent="0.25">
      <c r="A2317" s="3" t="str">
        <f>HYPERLINK("http://www.ncbi.nlm.nih.gov/gene/90678","90678")</f>
        <v>90678</v>
      </c>
      <c r="B2317" s="1" t="s">
        <v>5523</v>
      </c>
      <c r="C2317" t="s">
        <v>5524</v>
      </c>
      <c r="D2317">
        <v>136</v>
      </c>
      <c r="E2317">
        <v>139.4</v>
      </c>
      <c r="F2317">
        <v>100</v>
      </c>
      <c r="G2317">
        <v>99.9</v>
      </c>
      <c r="H2317">
        <v>113.1</v>
      </c>
      <c r="I2317">
        <v>115.3</v>
      </c>
      <c r="J2317">
        <v>100</v>
      </c>
      <c r="K2317">
        <v>100</v>
      </c>
      <c r="L2317" s="1" t="s">
        <v>5523</v>
      </c>
      <c r="M2317" t="s">
        <v>5525</v>
      </c>
      <c r="N2317">
        <v>3</v>
      </c>
    </row>
    <row r="2318" spans="1:14" x14ac:dyDescent="0.25">
      <c r="A2318" s="3" t="str">
        <f>HYPERLINK("http://www.ncbi.nlm.nih.gov/gene/220074","220074")</f>
        <v>220074</v>
      </c>
      <c r="B2318" s="1" t="s">
        <v>5526</v>
      </c>
      <c r="C2318" t="s">
        <v>5527</v>
      </c>
      <c r="D2318">
        <v>143.69999999999999</v>
      </c>
      <c r="E2318">
        <v>147.30000000000001</v>
      </c>
      <c r="F2318">
        <v>100</v>
      </c>
      <c r="G2318">
        <v>99.2</v>
      </c>
      <c r="H2318">
        <v>132.69999999999999</v>
      </c>
      <c r="I2318">
        <v>137.30000000000001</v>
      </c>
      <c r="J2318">
        <v>100</v>
      </c>
      <c r="K2318">
        <v>100</v>
      </c>
      <c r="L2318" s="1" t="s">
        <v>5526</v>
      </c>
      <c r="M2318" t="s">
        <v>269</v>
      </c>
      <c r="N2318">
        <v>3</v>
      </c>
    </row>
    <row r="2319" spans="1:14" x14ac:dyDescent="0.25">
      <c r="A2319" s="3" t="str">
        <f>HYPERLINK("http://www.ncbi.nlm.nih.gov/gene/134353","134353")</f>
        <v>134353</v>
      </c>
      <c r="B2319" s="1" t="s">
        <v>5528</v>
      </c>
      <c r="D2319">
        <v>137.9</v>
      </c>
      <c r="E2319">
        <v>136.5</v>
      </c>
      <c r="F2319">
        <v>99.9</v>
      </c>
      <c r="G2319">
        <v>97.6</v>
      </c>
      <c r="H2319">
        <v>124.9</v>
      </c>
      <c r="I2319">
        <v>126.8</v>
      </c>
      <c r="J2319">
        <v>99.9</v>
      </c>
      <c r="K2319">
        <v>99.1</v>
      </c>
      <c r="L2319" s="1" t="s">
        <v>5528</v>
      </c>
      <c r="M2319" t="s">
        <v>502</v>
      </c>
      <c r="N2319">
        <v>2</v>
      </c>
    </row>
    <row r="2320" spans="1:14" x14ac:dyDescent="0.25">
      <c r="A2320" s="3" t="str">
        <f>HYPERLINK("http://www.ncbi.nlm.nih.gov/gene/4047","4047")</f>
        <v>4047</v>
      </c>
      <c r="B2320" s="1" t="s">
        <v>5529</v>
      </c>
      <c r="C2320" t="s">
        <v>5530</v>
      </c>
      <c r="D2320">
        <v>136.19999999999999</v>
      </c>
      <c r="E2320">
        <v>138.4</v>
      </c>
      <c r="F2320">
        <v>100</v>
      </c>
      <c r="G2320">
        <v>99.9</v>
      </c>
      <c r="H2320">
        <v>174.6</v>
      </c>
      <c r="I2320">
        <v>178.4</v>
      </c>
      <c r="J2320">
        <v>100</v>
      </c>
      <c r="K2320">
        <v>100</v>
      </c>
      <c r="L2320" s="1" t="s">
        <v>5529</v>
      </c>
      <c r="M2320" t="s">
        <v>1633</v>
      </c>
      <c r="N2320">
        <v>4</v>
      </c>
    </row>
    <row r="2321" spans="1:14" x14ac:dyDescent="0.25">
      <c r="A2321" s="3" t="str">
        <f>HYPERLINK("http://www.ncbi.nlm.nih.gov/gene/4052","4052")</f>
        <v>4052</v>
      </c>
      <c r="B2321" s="1" t="s">
        <v>5531</v>
      </c>
      <c r="D2321">
        <v>136.19999999999999</v>
      </c>
      <c r="E2321">
        <v>139.19999999999999</v>
      </c>
      <c r="F2321">
        <v>98.9</v>
      </c>
      <c r="G2321">
        <v>97.2</v>
      </c>
      <c r="H2321">
        <v>125.3</v>
      </c>
      <c r="I2321">
        <v>128.80000000000001</v>
      </c>
      <c r="J2321">
        <v>100</v>
      </c>
      <c r="K2321">
        <v>99.9</v>
      </c>
      <c r="L2321" s="1" t="s">
        <v>5531</v>
      </c>
      <c r="M2321" t="s">
        <v>661</v>
      </c>
      <c r="N2321">
        <v>2</v>
      </c>
    </row>
    <row r="2322" spans="1:14" x14ac:dyDescent="0.25">
      <c r="A2322" s="3" t="str">
        <f>HYPERLINK("http://www.ncbi.nlm.nih.gov/gene/4053","4053")</f>
        <v>4053</v>
      </c>
      <c r="B2322" s="1" t="s">
        <v>5532</v>
      </c>
      <c r="C2322" t="s">
        <v>5533</v>
      </c>
      <c r="D2322">
        <v>111.2</v>
      </c>
      <c r="E2322">
        <v>112.8</v>
      </c>
      <c r="F2322">
        <v>99.9</v>
      </c>
      <c r="G2322">
        <v>99</v>
      </c>
      <c r="H2322">
        <v>148.30000000000001</v>
      </c>
      <c r="I2322">
        <v>153.30000000000001</v>
      </c>
      <c r="J2322">
        <v>100</v>
      </c>
      <c r="K2322">
        <v>100</v>
      </c>
      <c r="L2322" s="1" t="s">
        <v>5532</v>
      </c>
      <c r="M2322" t="s">
        <v>5534</v>
      </c>
      <c r="N2322">
        <v>5</v>
      </c>
    </row>
    <row r="2323" spans="1:14" x14ac:dyDescent="0.25">
      <c r="A2323" s="3" t="str">
        <f>HYPERLINK("http://www.ncbi.nlm.nih.gov/gene/4054","4054")</f>
        <v>4054</v>
      </c>
      <c r="B2323" s="1" t="s">
        <v>5535</v>
      </c>
      <c r="C2323" t="s">
        <v>5536</v>
      </c>
      <c r="D2323">
        <v>133.19999999999999</v>
      </c>
      <c r="E2323">
        <v>132.5</v>
      </c>
      <c r="F2323">
        <v>99.6</v>
      </c>
      <c r="G2323">
        <v>98.1</v>
      </c>
      <c r="H2323">
        <v>141</v>
      </c>
      <c r="I2323">
        <v>143.6</v>
      </c>
      <c r="J2323">
        <v>100</v>
      </c>
      <c r="K2323">
        <v>100</v>
      </c>
      <c r="L2323" s="1" t="s">
        <v>5535</v>
      </c>
      <c r="M2323" t="s">
        <v>5537</v>
      </c>
      <c r="N2323">
        <v>7</v>
      </c>
    </row>
    <row r="2324" spans="1:14" x14ac:dyDescent="0.25">
      <c r="A2324" s="3" t="str">
        <f>HYPERLINK("http://www.ncbi.nlm.nih.gov/gene/8425","8425")</f>
        <v>8425</v>
      </c>
      <c r="B2324" s="1" t="s">
        <v>5538</v>
      </c>
      <c r="C2324" t="s">
        <v>5539</v>
      </c>
      <c r="D2324">
        <v>135.19999999999999</v>
      </c>
      <c r="E2324">
        <v>141.30000000000001</v>
      </c>
      <c r="F2324">
        <v>99.9</v>
      </c>
      <c r="G2324">
        <v>97.5</v>
      </c>
      <c r="H2324">
        <v>149.80000000000001</v>
      </c>
      <c r="I2324">
        <v>154.30000000000001</v>
      </c>
      <c r="J2324">
        <v>100</v>
      </c>
      <c r="K2324">
        <v>100</v>
      </c>
      <c r="L2324" s="1" t="s">
        <v>5538</v>
      </c>
      <c r="M2324" t="s">
        <v>5540</v>
      </c>
      <c r="N2324">
        <v>4</v>
      </c>
    </row>
    <row r="2325" spans="1:14" x14ac:dyDescent="0.25">
      <c r="A2325" s="3" t="str">
        <f>HYPERLINK("http://www.ncbi.nlm.nih.gov/gene/4056","4056")</f>
        <v>4056</v>
      </c>
      <c r="B2325" s="1" t="s">
        <v>5541</v>
      </c>
      <c r="D2325">
        <v>63.1</v>
      </c>
      <c r="E2325">
        <v>63.7</v>
      </c>
      <c r="F2325">
        <v>74.2</v>
      </c>
      <c r="G2325">
        <v>68.5</v>
      </c>
      <c r="H2325">
        <v>104.8</v>
      </c>
      <c r="I2325">
        <v>106.1</v>
      </c>
      <c r="J2325">
        <v>100</v>
      </c>
      <c r="K2325">
        <v>100</v>
      </c>
      <c r="L2325" s="1" t="s">
        <v>5541</v>
      </c>
      <c r="M2325" t="s">
        <v>116</v>
      </c>
      <c r="N2325">
        <v>3</v>
      </c>
    </row>
    <row r="2326" spans="1:14" x14ac:dyDescent="0.25">
      <c r="A2326" s="3" t="str">
        <f>HYPERLINK("http://www.ncbi.nlm.nih.gov/gene/57128","57128")</f>
        <v>57128</v>
      </c>
      <c r="B2326" s="1" t="s">
        <v>5542</v>
      </c>
      <c r="C2326" t="s">
        <v>5543</v>
      </c>
      <c r="D2326">
        <v>102.9</v>
      </c>
      <c r="E2326">
        <v>107.2</v>
      </c>
      <c r="F2326">
        <v>68.5</v>
      </c>
      <c r="G2326">
        <v>66.2</v>
      </c>
      <c r="H2326">
        <v>84.2</v>
      </c>
      <c r="I2326">
        <v>85.8</v>
      </c>
      <c r="J2326">
        <v>66.3</v>
      </c>
      <c r="K2326">
        <v>66.3</v>
      </c>
      <c r="L2326" s="1" t="s">
        <v>5542</v>
      </c>
      <c r="M2326" t="s">
        <v>766</v>
      </c>
      <c r="N2326">
        <v>3</v>
      </c>
    </row>
    <row r="2327" spans="1:14" x14ac:dyDescent="0.25">
      <c r="A2327" s="3" t="str">
        <f>HYPERLINK("http://www.ncbi.nlm.nih.gov/gene/90624","90624")</f>
        <v>90624</v>
      </c>
      <c r="B2327" s="1" t="s">
        <v>5544</v>
      </c>
      <c r="C2327" t="s">
        <v>5545</v>
      </c>
      <c r="D2327">
        <v>76</v>
      </c>
      <c r="E2327">
        <v>76.8</v>
      </c>
      <c r="F2327">
        <v>95.9</v>
      </c>
      <c r="G2327">
        <v>86.2</v>
      </c>
      <c r="H2327">
        <v>103.1</v>
      </c>
      <c r="I2327">
        <v>104.4</v>
      </c>
      <c r="J2327">
        <v>100</v>
      </c>
      <c r="K2327">
        <v>100</v>
      </c>
      <c r="L2327" s="1" t="s">
        <v>5544</v>
      </c>
      <c r="M2327" t="s">
        <v>766</v>
      </c>
      <c r="N2327">
        <v>3</v>
      </c>
    </row>
    <row r="2328" spans="1:14" x14ac:dyDescent="0.25">
      <c r="A2328" s="3" t="str">
        <f>HYPERLINK("http://www.ncbi.nlm.nih.gov/gene/1130","1130")</f>
        <v>1130</v>
      </c>
      <c r="B2328" s="1" t="s">
        <v>5546</v>
      </c>
      <c r="C2328" t="s">
        <v>5547</v>
      </c>
      <c r="D2328">
        <v>164.3</v>
      </c>
      <c r="E2328">
        <v>169.3</v>
      </c>
      <c r="F2328">
        <v>99.6</v>
      </c>
      <c r="G2328">
        <v>98.3</v>
      </c>
      <c r="H2328">
        <v>133.9</v>
      </c>
      <c r="I2328">
        <v>136.6</v>
      </c>
      <c r="J2328">
        <v>100</v>
      </c>
      <c r="K2328">
        <v>100</v>
      </c>
      <c r="L2328" s="1" t="s">
        <v>5546</v>
      </c>
      <c r="M2328" t="s">
        <v>5548</v>
      </c>
      <c r="N2328">
        <v>8</v>
      </c>
    </row>
    <row r="2329" spans="1:14" x14ac:dyDescent="0.25">
      <c r="A2329" s="3" t="str">
        <f>HYPERLINK("http://www.ncbi.nlm.nih.gov/gene/4069","4069")</f>
        <v>4069</v>
      </c>
      <c r="B2329" s="1" t="s">
        <v>5549</v>
      </c>
      <c r="C2329" t="s">
        <v>5550</v>
      </c>
      <c r="D2329">
        <v>157.1</v>
      </c>
      <c r="E2329">
        <v>163.5</v>
      </c>
      <c r="F2329">
        <v>100</v>
      </c>
      <c r="G2329">
        <v>100</v>
      </c>
      <c r="H2329">
        <v>158.6</v>
      </c>
      <c r="I2329">
        <v>163.5</v>
      </c>
      <c r="J2329">
        <v>100</v>
      </c>
      <c r="K2329">
        <v>100</v>
      </c>
      <c r="L2329" s="1" t="s">
        <v>5549</v>
      </c>
      <c r="M2329" t="s">
        <v>4048</v>
      </c>
      <c r="N2329">
        <v>3</v>
      </c>
    </row>
    <row r="2330" spans="1:14" x14ac:dyDescent="0.25">
      <c r="A2330" s="3" t="str">
        <f>HYPERLINK("http://www.ncbi.nlm.nih.gov/gene/54585","54585")</f>
        <v>54585</v>
      </c>
      <c r="B2330" s="1" t="s">
        <v>5551</v>
      </c>
      <c r="C2330" t="s">
        <v>5552</v>
      </c>
      <c r="D2330">
        <v>128.19999999999999</v>
      </c>
      <c r="E2330">
        <v>132</v>
      </c>
      <c r="F2330">
        <v>99.9</v>
      </c>
      <c r="G2330">
        <v>99.2</v>
      </c>
      <c r="H2330">
        <v>117.8</v>
      </c>
      <c r="I2330">
        <v>120.8</v>
      </c>
      <c r="J2330">
        <v>100</v>
      </c>
      <c r="K2330">
        <v>100</v>
      </c>
      <c r="L2330" s="1" t="s">
        <v>5551</v>
      </c>
      <c r="M2330" t="s">
        <v>372</v>
      </c>
      <c r="N2330">
        <v>6</v>
      </c>
    </row>
    <row r="2331" spans="1:14" x14ac:dyDescent="0.25">
      <c r="A2331" s="3" t="str">
        <f>HYPERLINK("http://www.ncbi.nlm.nih.gov/gene/8216","8216")</f>
        <v>8216</v>
      </c>
      <c r="B2331" s="1" t="s">
        <v>5553</v>
      </c>
      <c r="C2331" t="s">
        <v>5554</v>
      </c>
      <c r="D2331">
        <v>132.69999999999999</v>
      </c>
      <c r="E2331">
        <v>136.80000000000001</v>
      </c>
      <c r="F2331">
        <v>100</v>
      </c>
      <c r="G2331">
        <v>99.9</v>
      </c>
      <c r="H2331">
        <v>128.4</v>
      </c>
      <c r="I2331">
        <v>131.9</v>
      </c>
      <c r="J2331">
        <v>100</v>
      </c>
      <c r="K2331">
        <v>100</v>
      </c>
      <c r="L2331" s="1" t="s">
        <v>5553</v>
      </c>
      <c r="M2331" t="s">
        <v>5555</v>
      </c>
      <c r="N2331">
        <v>9</v>
      </c>
    </row>
    <row r="2332" spans="1:14" x14ac:dyDescent="0.25">
      <c r="A2332" s="3" t="str">
        <f>HYPERLINK("http://www.ncbi.nlm.nih.gov/gene/11178","11178")</f>
        <v>11178</v>
      </c>
      <c r="B2332" s="1" t="s">
        <v>5556</v>
      </c>
      <c r="C2332" t="s">
        <v>5557</v>
      </c>
      <c r="D2332">
        <v>127</v>
      </c>
      <c r="E2332">
        <v>129.4</v>
      </c>
      <c r="F2332">
        <v>100</v>
      </c>
      <c r="G2332">
        <v>99.8</v>
      </c>
      <c r="H2332">
        <v>151</v>
      </c>
      <c r="I2332">
        <v>151.5</v>
      </c>
      <c r="J2332">
        <v>100</v>
      </c>
      <c r="K2332">
        <v>100</v>
      </c>
      <c r="L2332" s="1" t="s">
        <v>5556</v>
      </c>
      <c r="M2332" t="s">
        <v>22</v>
      </c>
      <c r="N2332">
        <v>1</v>
      </c>
    </row>
    <row r="2333" spans="1:14" x14ac:dyDescent="0.25">
      <c r="A2333" s="3" t="str">
        <f>HYPERLINK("http://www.ncbi.nlm.nih.gov/gene/4081","4081")</f>
        <v>4081</v>
      </c>
      <c r="B2333" s="1" t="s">
        <v>5558</v>
      </c>
      <c r="C2333" t="s">
        <v>5559</v>
      </c>
      <c r="D2333">
        <v>188.5</v>
      </c>
      <c r="E2333">
        <v>192.1</v>
      </c>
      <c r="F2333">
        <v>100</v>
      </c>
      <c r="G2333">
        <v>100</v>
      </c>
      <c r="H2333">
        <v>164.3</v>
      </c>
      <c r="I2333">
        <v>165.3</v>
      </c>
      <c r="J2333">
        <v>100</v>
      </c>
      <c r="K2333">
        <v>100</v>
      </c>
      <c r="L2333" s="1" t="s">
        <v>5558</v>
      </c>
      <c r="M2333" t="s">
        <v>228</v>
      </c>
      <c r="N2333">
        <v>3</v>
      </c>
    </row>
    <row r="2334" spans="1:14" x14ac:dyDescent="0.25">
      <c r="A2334" s="3" t="str">
        <f>HYPERLINK("http://www.ncbi.nlm.nih.gov/gene/10586","10586")</f>
        <v>10586</v>
      </c>
      <c r="B2334" s="1" t="s">
        <v>5560</v>
      </c>
      <c r="C2334" t="s">
        <v>5561</v>
      </c>
      <c r="D2334">
        <v>190.5</v>
      </c>
      <c r="E2334">
        <v>181.5</v>
      </c>
      <c r="F2334">
        <v>100</v>
      </c>
      <c r="G2334">
        <v>100</v>
      </c>
      <c r="H2334">
        <v>149.5</v>
      </c>
      <c r="I2334">
        <v>152.5</v>
      </c>
      <c r="J2334">
        <v>100</v>
      </c>
      <c r="K2334">
        <v>100</v>
      </c>
      <c r="L2334" s="1" t="s">
        <v>5560</v>
      </c>
      <c r="M2334" t="s">
        <v>5562</v>
      </c>
      <c r="N2334">
        <v>4</v>
      </c>
    </row>
    <row r="2335" spans="1:14" x14ac:dyDescent="0.25">
      <c r="A2335" s="3" t="str">
        <f>HYPERLINK("http://www.ncbi.nlm.nih.gov/gene/23499","23499")</f>
        <v>23499</v>
      </c>
      <c r="B2335" s="1" t="s">
        <v>5563</v>
      </c>
      <c r="C2335" t="s">
        <v>5564</v>
      </c>
      <c r="D2335">
        <v>144.80000000000001</v>
      </c>
      <c r="E2335">
        <v>145.5</v>
      </c>
      <c r="F2335">
        <v>99.7</v>
      </c>
      <c r="G2335">
        <v>99.3</v>
      </c>
      <c r="H2335">
        <v>139.30000000000001</v>
      </c>
      <c r="I2335">
        <v>141.6</v>
      </c>
      <c r="J2335">
        <v>100</v>
      </c>
      <c r="K2335">
        <v>100</v>
      </c>
      <c r="L2335" s="1" t="s">
        <v>5563</v>
      </c>
      <c r="M2335" t="s">
        <v>189</v>
      </c>
      <c r="N2335">
        <v>2</v>
      </c>
    </row>
    <row r="2336" spans="1:14" x14ac:dyDescent="0.25">
      <c r="A2336" s="3" t="str">
        <f>HYPERLINK("http://www.ncbi.nlm.nih.gov/gene/8379","8379")</f>
        <v>8379</v>
      </c>
      <c r="B2336" s="1" t="s">
        <v>5565</v>
      </c>
      <c r="C2336" t="s">
        <v>5566</v>
      </c>
      <c r="D2336">
        <v>109.7</v>
      </c>
      <c r="E2336">
        <v>112.3</v>
      </c>
      <c r="F2336">
        <v>100</v>
      </c>
      <c r="G2336">
        <v>97.6</v>
      </c>
      <c r="H2336">
        <v>161</v>
      </c>
      <c r="I2336">
        <v>165.6</v>
      </c>
      <c r="J2336">
        <v>100</v>
      </c>
      <c r="K2336">
        <v>100</v>
      </c>
      <c r="L2336" s="1" t="s">
        <v>5565</v>
      </c>
      <c r="M2336" t="s">
        <v>22</v>
      </c>
      <c r="N2336">
        <v>1</v>
      </c>
    </row>
    <row r="2337" spans="1:14" x14ac:dyDescent="0.25">
      <c r="A2337" s="3" t="str">
        <f>HYPERLINK("http://www.ncbi.nlm.nih.gov/gene/10459","10459")</f>
        <v>10459</v>
      </c>
      <c r="B2337" s="1" t="s">
        <v>5567</v>
      </c>
      <c r="C2337" t="s">
        <v>5568</v>
      </c>
      <c r="D2337">
        <v>152.5</v>
      </c>
      <c r="E2337">
        <v>151.69999999999999</v>
      </c>
      <c r="F2337">
        <v>100</v>
      </c>
      <c r="G2337">
        <v>99.9</v>
      </c>
      <c r="H2337">
        <v>126.7</v>
      </c>
      <c r="I2337">
        <v>128.9</v>
      </c>
      <c r="J2337">
        <v>100</v>
      </c>
      <c r="K2337">
        <v>100</v>
      </c>
      <c r="L2337" s="1" t="s">
        <v>5567</v>
      </c>
      <c r="M2337" t="s">
        <v>5569</v>
      </c>
      <c r="N2337">
        <v>4</v>
      </c>
    </row>
    <row r="2338" spans="1:14" x14ac:dyDescent="0.25">
      <c r="A2338" s="3" t="str">
        <f>HYPERLINK("http://www.ncbi.nlm.nih.gov/gene/4094","4094")</f>
        <v>4094</v>
      </c>
      <c r="B2338" s="1" t="s">
        <v>5570</v>
      </c>
      <c r="C2338" t="s">
        <v>5571</v>
      </c>
      <c r="D2338">
        <v>91</v>
      </c>
      <c r="E2338">
        <v>79.2</v>
      </c>
      <c r="F2338">
        <v>83.5</v>
      </c>
      <c r="G2338">
        <v>78</v>
      </c>
      <c r="H2338">
        <v>123.9</v>
      </c>
      <c r="I2338">
        <v>143.9</v>
      </c>
      <c r="J2338">
        <v>88.6</v>
      </c>
      <c r="K2338">
        <v>82.2</v>
      </c>
      <c r="L2338" s="1" t="s">
        <v>5570</v>
      </c>
      <c r="M2338" t="s">
        <v>2411</v>
      </c>
      <c r="N2338">
        <v>3</v>
      </c>
    </row>
    <row r="2339" spans="1:14" x14ac:dyDescent="0.25">
      <c r="A2339" s="3" t="str">
        <f>HYPERLINK("http://www.ncbi.nlm.nih.gov/gene/389692","389692")</f>
        <v>389692</v>
      </c>
      <c r="B2339" s="1" t="s">
        <v>5572</v>
      </c>
      <c r="C2339" t="s">
        <v>5573</v>
      </c>
      <c r="D2339">
        <v>47.6</v>
      </c>
      <c r="E2339">
        <v>38.200000000000003</v>
      </c>
      <c r="F2339">
        <v>93.6</v>
      </c>
      <c r="G2339">
        <v>71.5</v>
      </c>
      <c r="H2339">
        <v>83.6</v>
      </c>
      <c r="I2339">
        <v>81.599999999999994</v>
      </c>
      <c r="J2339">
        <v>99.4</v>
      </c>
      <c r="K2339">
        <v>95.8</v>
      </c>
      <c r="L2339" s="1" t="s">
        <v>5572</v>
      </c>
      <c r="M2339" t="s">
        <v>285</v>
      </c>
      <c r="N2339">
        <v>1</v>
      </c>
    </row>
    <row r="2340" spans="1:14" x14ac:dyDescent="0.25">
      <c r="A2340" s="3" t="str">
        <f>HYPERLINK("http://www.ncbi.nlm.nih.gov/gene/9935","9935")</f>
        <v>9935</v>
      </c>
      <c r="B2340" s="1" t="s">
        <v>5574</v>
      </c>
      <c r="C2340" t="s">
        <v>5575</v>
      </c>
      <c r="D2340">
        <v>107.5</v>
      </c>
      <c r="E2340">
        <v>83.5</v>
      </c>
      <c r="F2340">
        <v>100</v>
      </c>
      <c r="G2340">
        <v>99.4</v>
      </c>
      <c r="H2340">
        <v>165.4</v>
      </c>
      <c r="I2340">
        <v>167.6</v>
      </c>
      <c r="J2340">
        <v>100</v>
      </c>
      <c r="K2340">
        <v>100</v>
      </c>
      <c r="L2340" s="1" t="s">
        <v>5574</v>
      </c>
      <c r="M2340" t="s">
        <v>3630</v>
      </c>
      <c r="N2340">
        <v>3</v>
      </c>
    </row>
    <row r="2341" spans="1:14" x14ac:dyDescent="0.25">
      <c r="A2341" s="3" t="str">
        <f>HYPERLINK("http://www.ncbi.nlm.nih.gov/gene/4099","4099")</f>
        <v>4099</v>
      </c>
      <c r="B2341" s="1" t="s">
        <v>5576</v>
      </c>
      <c r="C2341" t="s">
        <v>5577</v>
      </c>
      <c r="D2341">
        <v>156.5</v>
      </c>
      <c r="E2341">
        <v>161</v>
      </c>
      <c r="F2341">
        <v>100</v>
      </c>
      <c r="G2341">
        <v>100</v>
      </c>
      <c r="H2341">
        <v>144.5</v>
      </c>
      <c r="I2341">
        <v>148.4</v>
      </c>
      <c r="J2341">
        <v>100</v>
      </c>
      <c r="K2341">
        <v>100</v>
      </c>
      <c r="L2341" s="1" t="s">
        <v>5576</v>
      </c>
      <c r="M2341" t="s">
        <v>360</v>
      </c>
      <c r="N2341">
        <v>5</v>
      </c>
    </row>
    <row r="2342" spans="1:14" x14ac:dyDescent="0.25">
      <c r="A2342" s="3" t="str">
        <f>HYPERLINK("http://www.ncbi.nlm.nih.gov/gene/10916","10916")</f>
        <v>10916</v>
      </c>
      <c r="B2342" s="1" t="s">
        <v>5578</v>
      </c>
      <c r="C2342" t="s">
        <v>5579</v>
      </c>
      <c r="D2342">
        <v>82</v>
      </c>
      <c r="E2342">
        <v>81.7</v>
      </c>
      <c r="F2342">
        <v>99.8</v>
      </c>
      <c r="G2342">
        <v>97.7</v>
      </c>
      <c r="H2342">
        <v>123</v>
      </c>
      <c r="I2342">
        <v>123.9</v>
      </c>
      <c r="J2342">
        <v>100</v>
      </c>
      <c r="K2342">
        <v>99.9</v>
      </c>
      <c r="L2342" s="1" t="s">
        <v>5578</v>
      </c>
      <c r="M2342" t="s">
        <v>5580</v>
      </c>
      <c r="N2342">
        <v>2</v>
      </c>
    </row>
    <row r="2343" spans="1:14" x14ac:dyDescent="0.25">
      <c r="A2343" s="3" t="str">
        <f>HYPERLINK("http://www.ncbi.nlm.nih.gov/gene/54551","54551")</f>
        <v>54551</v>
      </c>
      <c r="B2343" s="1" t="s">
        <v>5581</v>
      </c>
      <c r="C2343" t="s">
        <v>5582</v>
      </c>
      <c r="D2343">
        <v>113.2</v>
      </c>
      <c r="E2343">
        <v>115.9</v>
      </c>
      <c r="F2343">
        <v>93</v>
      </c>
      <c r="G2343">
        <v>87.2</v>
      </c>
      <c r="H2343">
        <v>180.2</v>
      </c>
      <c r="I2343">
        <v>161.5</v>
      </c>
      <c r="J2343">
        <v>100</v>
      </c>
      <c r="K2343">
        <v>100</v>
      </c>
      <c r="L2343" s="1" t="s">
        <v>5581</v>
      </c>
      <c r="M2343" t="s">
        <v>5583</v>
      </c>
      <c r="N2343">
        <v>2</v>
      </c>
    </row>
    <row r="2344" spans="1:14" x14ac:dyDescent="0.25">
      <c r="A2344" s="3" t="str">
        <f>HYPERLINK("http://www.ncbi.nlm.nih.gov/gene/9863","9863")</f>
        <v>9863</v>
      </c>
      <c r="B2344" s="1" t="s">
        <v>5584</v>
      </c>
      <c r="C2344" t="s">
        <v>5585</v>
      </c>
      <c r="D2344">
        <v>110.1</v>
      </c>
      <c r="E2344">
        <v>111.9</v>
      </c>
      <c r="F2344">
        <v>94.5</v>
      </c>
      <c r="G2344">
        <v>92.4</v>
      </c>
      <c r="H2344">
        <v>142.19999999999999</v>
      </c>
      <c r="I2344">
        <v>142.80000000000001</v>
      </c>
      <c r="J2344">
        <v>94.7</v>
      </c>
      <c r="K2344">
        <v>93.3</v>
      </c>
      <c r="L2344" s="1" t="s">
        <v>5584</v>
      </c>
      <c r="M2344" t="s">
        <v>357</v>
      </c>
      <c r="N2344">
        <v>3</v>
      </c>
    </row>
    <row r="2345" spans="1:14" x14ac:dyDescent="0.25">
      <c r="A2345" s="3" t="str">
        <f>HYPERLINK("http://www.ncbi.nlm.nih.gov/gene/84061","84061")</f>
        <v>84061</v>
      </c>
      <c r="B2345" s="1" t="s">
        <v>5586</v>
      </c>
      <c r="C2345" t="s">
        <v>5587</v>
      </c>
      <c r="D2345">
        <v>121.1</v>
      </c>
      <c r="E2345">
        <v>124.5</v>
      </c>
      <c r="F2345">
        <v>98.5</v>
      </c>
      <c r="G2345">
        <v>96.5</v>
      </c>
      <c r="H2345">
        <v>124</v>
      </c>
      <c r="I2345">
        <v>127</v>
      </c>
      <c r="J2345">
        <v>98.7</v>
      </c>
      <c r="K2345">
        <v>98.7</v>
      </c>
      <c r="L2345" s="1" t="s">
        <v>5586</v>
      </c>
      <c r="M2345" t="s">
        <v>1576</v>
      </c>
      <c r="N2345">
        <v>2</v>
      </c>
    </row>
    <row r="2346" spans="1:14" x14ac:dyDescent="0.25">
      <c r="A2346" s="3" t="str">
        <f>HYPERLINK("http://www.ncbi.nlm.nih.gov/gene/4117","4117")</f>
        <v>4117</v>
      </c>
      <c r="B2346" s="1" t="s">
        <v>5588</v>
      </c>
      <c r="C2346" t="s">
        <v>5589</v>
      </c>
      <c r="D2346">
        <v>172.1</v>
      </c>
      <c r="E2346">
        <v>174.4</v>
      </c>
      <c r="F2346">
        <v>98.7</v>
      </c>
      <c r="G2346">
        <v>96.8</v>
      </c>
      <c r="H2346">
        <v>126</v>
      </c>
      <c r="I2346">
        <v>129.19999999999999</v>
      </c>
      <c r="J2346">
        <v>100</v>
      </c>
      <c r="K2346">
        <v>100</v>
      </c>
      <c r="L2346" s="1" t="s">
        <v>5588</v>
      </c>
      <c r="M2346" t="s">
        <v>56</v>
      </c>
      <c r="N2346">
        <v>3</v>
      </c>
    </row>
    <row r="2347" spans="1:14" x14ac:dyDescent="0.25">
      <c r="A2347" s="3" t="str">
        <f>HYPERLINK("http://www.ncbi.nlm.nih.gov/gene/114569","114569")</f>
        <v>114569</v>
      </c>
      <c r="B2347" s="1" t="s">
        <v>5590</v>
      </c>
      <c r="D2347">
        <v>184.8</v>
      </c>
      <c r="E2347">
        <v>192.3</v>
      </c>
      <c r="F2347">
        <v>99.9</v>
      </c>
      <c r="G2347">
        <v>98</v>
      </c>
      <c r="H2347">
        <v>128.4</v>
      </c>
      <c r="I2347">
        <v>131.80000000000001</v>
      </c>
      <c r="J2347">
        <v>100</v>
      </c>
      <c r="K2347">
        <v>99.9</v>
      </c>
      <c r="L2347" s="1" t="s">
        <v>5590</v>
      </c>
      <c r="M2347" t="s">
        <v>5591</v>
      </c>
      <c r="N2347">
        <v>2</v>
      </c>
    </row>
    <row r="2348" spans="1:14" x14ac:dyDescent="0.25">
      <c r="A2348" s="3" t="str">
        <f>HYPERLINK("http://www.ncbi.nlm.nih.gov/gene/10892","10892")</f>
        <v>10892</v>
      </c>
      <c r="B2348" s="1" t="s">
        <v>5592</v>
      </c>
      <c r="C2348" t="s">
        <v>5593</v>
      </c>
      <c r="D2348">
        <v>146.19999999999999</v>
      </c>
      <c r="E2348">
        <v>154</v>
      </c>
      <c r="F2348">
        <v>91.2</v>
      </c>
      <c r="G2348">
        <v>89.4</v>
      </c>
      <c r="H2348">
        <v>117.1</v>
      </c>
      <c r="I2348">
        <v>120.4</v>
      </c>
      <c r="J2348">
        <v>100</v>
      </c>
      <c r="K2348">
        <v>100</v>
      </c>
      <c r="L2348" s="1" t="s">
        <v>5592</v>
      </c>
      <c r="M2348" t="s">
        <v>1097</v>
      </c>
      <c r="N2348">
        <v>3</v>
      </c>
    </row>
    <row r="2349" spans="1:14" x14ac:dyDescent="0.25">
      <c r="A2349" s="3" t="str">
        <f>HYPERLINK("http://www.ncbi.nlm.nih.gov/gene/84441","84441")</f>
        <v>84441</v>
      </c>
      <c r="B2349" s="1" t="s">
        <v>5594</v>
      </c>
      <c r="C2349" t="s">
        <v>5595</v>
      </c>
      <c r="D2349">
        <v>144.1</v>
      </c>
      <c r="E2349">
        <v>123.6</v>
      </c>
      <c r="F2349">
        <v>100</v>
      </c>
      <c r="G2349">
        <v>99.6</v>
      </c>
      <c r="H2349">
        <v>157</v>
      </c>
      <c r="I2349">
        <v>151.5</v>
      </c>
      <c r="J2349">
        <v>100</v>
      </c>
      <c r="K2349">
        <v>100</v>
      </c>
      <c r="L2349" s="1" t="s">
        <v>5594</v>
      </c>
      <c r="M2349" t="s">
        <v>22</v>
      </c>
      <c r="N2349">
        <v>1</v>
      </c>
    </row>
    <row r="2350" spans="1:14" x14ac:dyDescent="0.25">
      <c r="A2350" s="3" t="str">
        <f>HYPERLINK("http://www.ncbi.nlm.nih.gov/gene/10046","10046")</f>
        <v>10046</v>
      </c>
      <c r="B2350" s="1" t="s">
        <v>5596</v>
      </c>
      <c r="C2350" t="s">
        <v>5597</v>
      </c>
      <c r="D2350">
        <v>127.8</v>
      </c>
      <c r="E2350">
        <v>125.4</v>
      </c>
      <c r="F2350">
        <v>99.8</v>
      </c>
      <c r="G2350">
        <v>98.2</v>
      </c>
      <c r="H2350">
        <v>159</v>
      </c>
      <c r="I2350">
        <v>161</v>
      </c>
      <c r="J2350">
        <v>100</v>
      </c>
      <c r="K2350">
        <v>100</v>
      </c>
      <c r="L2350" s="1" t="s">
        <v>5596</v>
      </c>
      <c r="M2350" t="s">
        <v>694</v>
      </c>
      <c r="N2350">
        <v>2</v>
      </c>
    </row>
    <row r="2351" spans="1:14" x14ac:dyDescent="0.25">
      <c r="A2351" s="3" t="str">
        <f>HYPERLINK("http://www.ncbi.nlm.nih.gov/gene/11253","11253")</f>
        <v>11253</v>
      </c>
      <c r="B2351" s="1" t="s">
        <v>5598</v>
      </c>
      <c r="C2351" t="s">
        <v>5599</v>
      </c>
      <c r="D2351">
        <v>128.1</v>
      </c>
      <c r="E2351">
        <v>129.30000000000001</v>
      </c>
      <c r="F2351">
        <v>100</v>
      </c>
      <c r="G2351">
        <v>99.7</v>
      </c>
      <c r="H2351">
        <v>134.19999999999999</v>
      </c>
      <c r="I2351">
        <v>139.1</v>
      </c>
      <c r="J2351">
        <v>100</v>
      </c>
      <c r="K2351">
        <v>99.9</v>
      </c>
      <c r="L2351" s="1" t="s">
        <v>5598</v>
      </c>
      <c r="M2351" t="s">
        <v>38</v>
      </c>
      <c r="N2351">
        <v>4</v>
      </c>
    </row>
    <row r="2352" spans="1:14" x14ac:dyDescent="0.25">
      <c r="A2352" s="3" t="str">
        <f>HYPERLINK("http://www.ncbi.nlm.nih.gov/gene/4125","4125")</f>
        <v>4125</v>
      </c>
      <c r="B2352" s="1" t="s">
        <v>5600</v>
      </c>
      <c r="C2352" t="s">
        <v>5601</v>
      </c>
      <c r="D2352">
        <v>138.80000000000001</v>
      </c>
      <c r="E2352">
        <v>142.30000000000001</v>
      </c>
      <c r="F2352">
        <v>99.8</v>
      </c>
      <c r="G2352">
        <v>97.9</v>
      </c>
      <c r="H2352">
        <v>135.1</v>
      </c>
      <c r="I2352">
        <v>138.6</v>
      </c>
      <c r="J2352">
        <v>100</v>
      </c>
      <c r="K2352">
        <v>100</v>
      </c>
      <c r="L2352" s="1" t="s">
        <v>5600</v>
      </c>
      <c r="M2352" t="s">
        <v>5602</v>
      </c>
      <c r="N2352">
        <v>7</v>
      </c>
    </row>
    <row r="2353" spans="1:14" x14ac:dyDescent="0.25">
      <c r="A2353" s="3" t="str">
        <f>HYPERLINK("http://www.ncbi.nlm.nih.gov/gene/23324","23324")</f>
        <v>23324</v>
      </c>
      <c r="B2353" s="1" t="s">
        <v>5603</v>
      </c>
      <c r="D2353">
        <v>143.5</v>
      </c>
      <c r="E2353">
        <v>151.80000000000001</v>
      </c>
      <c r="F2353">
        <v>99.9</v>
      </c>
      <c r="G2353">
        <v>99.1</v>
      </c>
      <c r="H2353">
        <v>146.69999999999999</v>
      </c>
      <c r="I2353">
        <v>151.4</v>
      </c>
      <c r="J2353">
        <v>100</v>
      </c>
      <c r="K2353">
        <v>100</v>
      </c>
      <c r="L2353" s="1" t="s">
        <v>5603</v>
      </c>
      <c r="M2353" t="s">
        <v>93</v>
      </c>
      <c r="N2353">
        <v>2</v>
      </c>
    </row>
    <row r="2354" spans="1:14" x14ac:dyDescent="0.25">
      <c r="A2354" s="3" t="str">
        <f>HYPERLINK("http://www.ncbi.nlm.nih.gov/gene/4126","4126")</f>
        <v>4126</v>
      </c>
      <c r="B2354" s="1" t="s">
        <v>5604</v>
      </c>
      <c r="C2354" t="s">
        <v>5605</v>
      </c>
      <c r="D2354">
        <v>122.5</v>
      </c>
      <c r="E2354">
        <v>128.80000000000001</v>
      </c>
      <c r="F2354">
        <v>87.8</v>
      </c>
      <c r="G2354">
        <v>86.5</v>
      </c>
      <c r="H2354">
        <v>130.80000000000001</v>
      </c>
      <c r="I2354">
        <v>134.9</v>
      </c>
      <c r="J2354">
        <v>100</v>
      </c>
      <c r="K2354">
        <v>100</v>
      </c>
      <c r="L2354" s="1" t="s">
        <v>5604</v>
      </c>
      <c r="M2354" t="s">
        <v>5606</v>
      </c>
      <c r="N2354">
        <v>6</v>
      </c>
    </row>
    <row r="2355" spans="1:14" x14ac:dyDescent="0.25">
      <c r="A2355" s="3" t="str">
        <f>HYPERLINK("http://www.ncbi.nlm.nih.gov/gene/4128","4128")</f>
        <v>4128</v>
      </c>
      <c r="B2355" s="1" t="s">
        <v>5607</v>
      </c>
      <c r="C2355" t="s">
        <v>5608</v>
      </c>
      <c r="D2355">
        <v>116.7</v>
      </c>
      <c r="E2355">
        <v>119.7</v>
      </c>
      <c r="F2355">
        <v>100</v>
      </c>
      <c r="G2355">
        <v>99.7</v>
      </c>
      <c r="H2355">
        <v>126.7</v>
      </c>
      <c r="I2355">
        <v>130</v>
      </c>
      <c r="J2355">
        <v>99.8</v>
      </c>
      <c r="K2355">
        <v>98.5</v>
      </c>
      <c r="L2355" s="1" t="s">
        <v>5607</v>
      </c>
      <c r="M2355" t="s">
        <v>5609</v>
      </c>
      <c r="N2355">
        <v>3</v>
      </c>
    </row>
    <row r="2356" spans="1:14" x14ac:dyDescent="0.25">
      <c r="A2356" s="3" t="str">
        <f>HYPERLINK("http://www.ncbi.nlm.nih.gov/gene/4131","4131")</f>
        <v>4131</v>
      </c>
      <c r="B2356" s="1" t="s">
        <v>5610</v>
      </c>
      <c r="C2356" t="s">
        <v>5611</v>
      </c>
      <c r="D2356">
        <v>154.19999999999999</v>
      </c>
      <c r="E2356">
        <v>145.80000000000001</v>
      </c>
      <c r="F2356">
        <v>99.3</v>
      </c>
      <c r="G2356">
        <v>97.7</v>
      </c>
      <c r="H2356">
        <v>148.80000000000001</v>
      </c>
      <c r="I2356">
        <v>149.5</v>
      </c>
      <c r="J2356">
        <v>100</v>
      </c>
      <c r="K2356">
        <v>100</v>
      </c>
      <c r="L2356" s="1" t="s">
        <v>5610</v>
      </c>
      <c r="M2356" t="s">
        <v>189</v>
      </c>
      <c r="N2356">
        <v>2</v>
      </c>
    </row>
    <row r="2357" spans="1:14" x14ac:dyDescent="0.25">
      <c r="A2357" s="3" t="str">
        <f>HYPERLINK("http://www.ncbi.nlm.nih.gov/gene/643246","643246")</f>
        <v>643246</v>
      </c>
      <c r="B2357" s="1" t="s">
        <v>5612</v>
      </c>
      <c r="C2357" t="s">
        <v>5613</v>
      </c>
      <c r="D2357">
        <v>164.6</v>
      </c>
      <c r="E2357">
        <v>163.4</v>
      </c>
      <c r="F2357">
        <v>100</v>
      </c>
      <c r="G2357">
        <v>100</v>
      </c>
      <c r="H2357">
        <v>184.8</v>
      </c>
      <c r="I2357">
        <v>186.7</v>
      </c>
      <c r="J2357">
        <v>100</v>
      </c>
      <c r="K2357">
        <v>100</v>
      </c>
      <c r="L2357" s="1" t="s">
        <v>5612</v>
      </c>
      <c r="M2357" t="s">
        <v>562</v>
      </c>
      <c r="N2357">
        <v>2</v>
      </c>
    </row>
    <row r="2358" spans="1:14" x14ac:dyDescent="0.25">
      <c r="A2358" s="3" t="str">
        <f>HYPERLINK("http://www.ncbi.nlm.nih.gov/gene/5604","5604")</f>
        <v>5604</v>
      </c>
      <c r="B2358" s="1" t="s">
        <v>5614</v>
      </c>
      <c r="C2358" t="s">
        <v>5615</v>
      </c>
      <c r="D2358">
        <v>109.4</v>
      </c>
      <c r="E2358">
        <v>111.1</v>
      </c>
      <c r="F2358">
        <v>99.8</v>
      </c>
      <c r="G2358">
        <v>97.1</v>
      </c>
      <c r="H2358">
        <v>127.4</v>
      </c>
      <c r="I2358">
        <v>130.6</v>
      </c>
      <c r="J2358">
        <v>100</v>
      </c>
      <c r="K2358">
        <v>100</v>
      </c>
      <c r="L2358" s="1" t="s">
        <v>5614</v>
      </c>
      <c r="M2358" t="s">
        <v>5616</v>
      </c>
      <c r="N2358">
        <v>6</v>
      </c>
    </row>
    <row r="2359" spans="1:14" x14ac:dyDescent="0.25">
      <c r="A2359" s="3" t="str">
        <f>HYPERLINK("http://www.ncbi.nlm.nih.gov/gene/5605","5605")</f>
        <v>5605</v>
      </c>
      <c r="B2359" s="1" t="s">
        <v>5617</v>
      </c>
      <c r="C2359" t="s">
        <v>5618</v>
      </c>
      <c r="D2359">
        <v>116.8</v>
      </c>
      <c r="E2359">
        <v>123</v>
      </c>
      <c r="F2359">
        <v>98.5</v>
      </c>
      <c r="G2359">
        <v>95.1</v>
      </c>
      <c r="H2359">
        <v>159.5</v>
      </c>
      <c r="I2359">
        <v>163.80000000000001</v>
      </c>
      <c r="J2359">
        <v>100</v>
      </c>
      <c r="K2359">
        <v>100</v>
      </c>
      <c r="L2359" s="1" t="s">
        <v>5617</v>
      </c>
      <c r="M2359" t="s">
        <v>5616</v>
      </c>
      <c r="N2359">
        <v>6</v>
      </c>
    </row>
    <row r="2360" spans="1:14" x14ac:dyDescent="0.25">
      <c r="A2360" s="3" t="str">
        <f>HYPERLINK("http://www.ncbi.nlm.nih.gov/gene/4214","4214")</f>
        <v>4214</v>
      </c>
      <c r="B2360" s="1" t="s">
        <v>5619</v>
      </c>
      <c r="C2360" t="s">
        <v>5620</v>
      </c>
      <c r="D2360">
        <v>166.6</v>
      </c>
      <c r="E2360">
        <v>162.9</v>
      </c>
      <c r="F2360">
        <v>96.1</v>
      </c>
      <c r="G2360">
        <v>91.6</v>
      </c>
      <c r="H2360">
        <v>132.69999999999999</v>
      </c>
      <c r="I2360">
        <v>134.9</v>
      </c>
      <c r="J2360">
        <v>99.7</v>
      </c>
      <c r="K2360">
        <v>98.3</v>
      </c>
      <c r="L2360" s="1" t="s">
        <v>5619</v>
      </c>
      <c r="M2360" t="s">
        <v>840</v>
      </c>
      <c r="N2360">
        <v>2</v>
      </c>
    </row>
    <row r="2361" spans="1:14" x14ac:dyDescent="0.25">
      <c r="A2361" s="3" t="str">
        <f>HYPERLINK("http://www.ncbi.nlm.nih.gov/gene/9020","9020")</f>
        <v>9020</v>
      </c>
      <c r="B2361" s="1" t="s">
        <v>5621</v>
      </c>
      <c r="C2361" t="s">
        <v>5622</v>
      </c>
      <c r="D2361">
        <v>127</v>
      </c>
      <c r="E2361">
        <v>130.6</v>
      </c>
      <c r="F2361">
        <v>100</v>
      </c>
      <c r="G2361">
        <v>99.9</v>
      </c>
      <c r="H2361">
        <v>144.9</v>
      </c>
      <c r="I2361">
        <v>148.1</v>
      </c>
      <c r="J2361">
        <v>100</v>
      </c>
      <c r="K2361">
        <v>100</v>
      </c>
      <c r="L2361" s="1" t="s">
        <v>5621</v>
      </c>
      <c r="M2361" t="s">
        <v>502</v>
      </c>
      <c r="N2361">
        <v>2</v>
      </c>
    </row>
    <row r="2362" spans="1:14" x14ac:dyDescent="0.25">
      <c r="A2362" s="3" t="str">
        <f>HYPERLINK("http://www.ncbi.nlm.nih.gov/gene/51776","51776")</f>
        <v>51776</v>
      </c>
      <c r="B2362" s="1" t="s">
        <v>5623</v>
      </c>
      <c r="C2362" t="s">
        <v>5624</v>
      </c>
      <c r="D2362">
        <v>129</v>
      </c>
      <c r="E2362">
        <v>132.4</v>
      </c>
      <c r="F2362">
        <v>100</v>
      </c>
      <c r="G2362">
        <v>99.5</v>
      </c>
      <c r="H2362">
        <v>131.6</v>
      </c>
      <c r="I2362">
        <v>134.4</v>
      </c>
      <c r="J2362">
        <v>100</v>
      </c>
      <c r="K2362">
        <v>100</v>
      </c>
      <c r="L2362" s="1" t="s">
        <v>5623</v>
      </c>
      <c r="M2362" t="s">
        <v>5625</v>
      </c>
      <c r="N2362">
        <v>4</v>
      </c>
    </row>
    <row r="2363" spans="1:14" x14ac:dyDescent="0.25">
      <c r="A2363" s="3" t="str">
        <f>HYPERLINK("http://www.ncbi.nlm.nih.gov/gene/6885","6885")</f>
        <v>6885</v>
      </c>
      <c r="B2363" s="1" t="s">
        <v>5626</v>
      </c>
      <c r="C2363" t="s">
        <v>5627</v>
      </c>
      <c r="D2363">
        <v>141</v>
      </c>
      <c r="E2363">
        <v>144.4</v>
      </c>
      <c r="F2363">
        <v>100</v>
      </c>
      <c r="G2363">
        <v>99.6</v>
      </c>
      <c r="H2363">
        <v>136.5</v>
      </c>
      <c r="I2363">
        <v>139.9</v>
      </c>
      <c r="J2363">
        <v>100</v>
      </c>
      <c r="K2363">
        <v>100</v>
      </c>
      <c r="L2363" s="1" t="s">
        <v>5626</v>
      </c>
      <c r="M2363" t="s">
        <v>2719</v>
      </c>
      <c r="N2363">
        <v>3</v>
      </c>
    </row>
    <row r="2364" spans="1:14" x14ac:dyDescent="0.25">
      <c r="A2364" s="3" t="str">
        <f>HYPERLINK("http://www.ncbi.nlm.nih.gov/gene/1326","1326")</f>
        <v>1326</v>
      </c>
      <c r="B2364" s="1" t="s">
        <v>5628</v>
      </c>
      <c r="C2364" t="s">
        <v>5629</v>
      </c>
      <c r="D2364">
        <v>156.19999999999999</v>
      </c>
      <c r="E2364">
        <v>168.5</v>
      </c>
      <c r="F2364">
        <v>100</v>
      </c>
      <c r="G2364">
        <v>99.9</v>
      </c>
      <c r="H2364">
        <v>135.1</v>
      </c>
      <c r="I2364">
        <v>139.69999999999999</v>
      </c>
      <c r="J2364">
        <v>100</v>
      </c>
      <c r="K2364">
        <v>100</v>
      </c>
      <c r="L2364" s="1" t="s">
        <v>5628</v>
      </c>
      <c r="M2364" t="s">
        <v>22</v>
      </c>
      <c r="N2364">
        <v>1</v>
      </c>
    </row>
    <row r="2365" spans="1:14" x14ac:dyDescent="0.25">
      <c r="A2365" s="3" t="str">
        <f>HYPERLINK("http://www.ncbi.nlm.nih.gov/gene/9448","9448")</f>
        <v>9448</v>
      </c>
      <c r="B2365" s="1" t="s">
        <v>5630</v>
      </c>
      <c r="C2365" t="s">
        <v>5631</v>
      </c>
      <c r="D2365">
        <v>120.8</v>
      </c>
      <c r="E2365">
        <v>126</v>
      </c>
      <c r="F2365">
        <v>100</v>
      </c>
      <c r="G2365">
        <v>99.3</v>
      </c>
      <c r="H2365">
        <v>127.8</v>
      </c>
      <c r="I2365">
        <v>131.30000000000001</v>
      </c>
      <c r="J2365">
        <v>100</v>
      </c>
      <c r="K2365">
        <v>100</v>
      </c>
      <c r="L2365" s="1" t="s">
        <v>5630</v>
      </c>
      <c r="M2365" t="s">
        <v>661</v>
      </c>
      <c r="N2365">
        <v>2</v>
      </c>
    </row>
    <row r="2366" spans="1:14" x14ac:dyDescent="0.25">
      <c r="A2366" s="3" t="str">
        <f>HYPERLINK("http://www.ncbi.nlm.nih.gov/gene/5599","5599")</f>
        <v>5599</v>
      </c>
      <c r="B2366" s="1" t="s">
        <v>5632</v>
      </c>
      <c r="C2366" t="s">
        <v>5633</v>
      </c>
      <c r="D2366">
        <v>158.69999999999999</v>
      </c>
      <c r="E2366">
        <v>165.9</v>
      </c>
      <c r="F2366">
        <v>100</v>
      </c>
      <c r="G2366">
        <v>99.8</v>
      </c>
      <c r="H2366">
        <v>127.8</v>
      </c>
      <c r="I2366">
        <v>133.1</v>
      </c>
      <c r="J2366">
        <v>100</v>
      </c>
      <c r="K2366">
        <v>100</v>
      </c>
      <c r="L2366" s="1" t="s">
        <v>5632</v>
      </c>
      <c r="M2366" t="s">
        <v>5634</v>
      </c>
      <c r="N2366">
        <v>3</v>
      </c>
    </row>
    <row r="2367" spans="1:14" x14ac:dyDescent="0.25">
      <c r="A2367" s="3" t="str">
        <f>HYPERLINK("http://www.ncbi.nlm.nih.gov/gene/23162","23162")</f>
        <v>23162</v>
      </c>
      <c r="B2367" s="1" t="s">
        <v>5635</v>
      </c>
      <c r="C2367" t="s">
        <v>5636</v>
      </c>
      <c r="D2367">
        <v>158.9</v>
      </c>
      <c r="E2367">
        <v>162.69999999999999</v>
      </c>
      <c r="F2367">
        <v>99.4</v>
      </c>
      <c r="G2367">
        <v>99</v>
      </c>
      <c r="H2367">
        <v>147.30000000000001</v>
      </c>
      <c r="I2367">
        <v>150.69999999999999</v>
      </c>
      <c r="J2367">
        <v>100</v>
      </c>
      <c r="K2367">
        <v>100</v>
      </c>
      <c r="L2367" s="1" t="s">
        <v>5635</v>
      </c>
      <c r="M2367" t="s">
        <v>877</v>
      </c>
      <c r="N2367">
        <v>4</v>
      </c>
    </row>
    <row r="2368" spans="1:14" x14ac:dyDescent="0.25">
      <c r="A2368" s="3" t="str">
        <f>HYPERLINK("http://www.ncbi.nlm.nih.gov/gene/7867","7867")</f>
        <v>7867</v>
      </c>
      <c r="B2368" s="1" t="s">
        <v>5637</v>
      </c>
      <c r="C2368" t="s">
        <v>5638</v>
      </c>
      <c r="D2368">
        <v>94.1</v>
      </c>
      <c r="E2368">
        <v>97</v>
      </c>
      <c r="F2368">
        <v>100</v>
      </c>
      <c r="G2368">
        <v>99.6</v>
      </c>
      <c r="H2368">
        <v>129.30000000000001</v>
      </c>
      <c r="I2368">
        <v>132.30000000000001</v>
      </c>
      <c r="J2368">
        <v>100</v>
      </c>
      <c r="K2368">
        <v>100</v>
      </c>
      <c r="L2368" s="1" t="s">
        <v>5637</v>
      </c>
      <c r="M2368" t="s">
        <v>302</v>
      </c>
      <c r="N2368">
        <v>2</v>
      </c>
    </row>
    <row r="2369" spans="1:14" x14ac:dyDescent="0.25">
      <c r="A2369" s="3" t="str">
        <f>HYPERLINK("http://www.ncbi.nlm.nih.gov/gene/23005","23005")</f>
        <v>23005</v>
      </c>
      <c r="B2369" s="1" t="s">
        <v>5639</v>
      </c>
      <c r="C2369" t="s">
        <v>5640</v>
      </c>
      <c r="D2369">
        <v>140.69999999999999</v>
      </c>
      <c r="E2369">
        <v>142.5</v>
      </c>
      <c r="F2369">
        <v>100</v>
      </c>
      <c r="G2369">
        <v>100</v>
      </c>
      <c r="H2369">
        <v>143.80000000000001</v>
      </c>
      <c r="I2369">
        <v>146.5</v>
      </c>
      <c r="J2369">
        <v>100</v>
      </c>
      <c r="K2369">
        <v>100</v>
      </c>
      <c r="L2369" s="1" t="s">
        <v>5639</v>
      </c>
      <c r="M2369" t="s">
        <v>4959</v>
      </c>
      <c r="N2369">
        <v>4</v>
      </c>
    </row>
    <row r="2370" spans="1:14" x14ac:dyDescent="0.25">
      <c r="A2370" s="3" t="str">
        <f>HYPERLINK("http://www.ncbi.nlm.nih.gov/gene/10982","10982")</f>
        <v>10982</v>
      </c>
      <c r="B2370" s="1" t="s">
        <v>5641</v>
      </c>
      <c r="C2370" t="s">
        <v>5642</v>
      </c>
      <c r="D2370">
        <v>177.4</v>
      </c>
      <c r="E2370">
        <v>184.9</v>
      </c>
      <c r="F2370">
        <v>100</v>
      </c>
      <c r="G2370">
        <v>99.3</v>
      </c>
      <c r="H2370">
        <v>145.5</v>
      </c>
      <c r="I2370">
        <v>149.80000000000001</v>
      </c>
      <c r="J2370">
        <v>100</v>
      </c>
      <c r="K2370">
        <v>100</v>
      </c>
      <c r="L2370" s="1" t="s">
        <v>5641</v>
      </c>
      <c r="M2370" t="s">
        <v>2393</v>
      </c>
      <c r="N2370">
        <v>3</v>
      </c>
    </row>
    <row r="2371" spans="1:14" x14ac:dyDescent="0.25">
      <c r="A2371" s="3" t="str">
        <f>HYPERLINK("http://www.ncbi.nlm.nih.gov/gene/4137","4137")</f>
        <v>4137</v>
      </c>
      <c r="B2371" s="1" t="s">
        <v>5643</v>
      </c>
      <c r="C2371" t="s">
        <v>5644</v>
      </c>
      <c r="D2371">
        <v>163.6</v>
      </c>
      <c r="E2371">
        <v>166.5</v>
      </c>
      <c r="F2371">
        <v>100</v>
      </c>
      <c r="G2371">
        <v>99.5</v>
      </c>
      <c r="H2371">
        <v>211.9</v>
      </c>
      <c r="I2371">
        <v>216.9</v>
      </c>
      <c r="J2371">
        <v>100</v>
      </c>
      <c r="K2371">
        <v>100</v>
      </c>
      <c r="L2371" s="1" t="s">
        <v>5643</v>
      </c>
      <c r="M2371" t="s">
        <v>5645</v>
      </c>
      <c r="N2371">
        <v>3</v>
      </c>
    </row>
    <row r="2372" spans="1:14" x14ac:dyDescent="0.25">
      <c r="A2372" s="3" t="str">
        <f>HYPERLINK("http://www.ncbi.nlm.nih.gov/gene/10299","10299")</f>
        <v>10299</v>
      </c>
      <c r="B2372" s="1" t="s">
        <v>5646</v>
      </c>
      <c r="C2372" t="s">
        <v>5647</v>
      </c>
      <c r="D2372">
        <v>134.80000000000001</v>
      </c>
      <c r="E2372">
        <v>139.5</v>
      </c>
      <c r="F2372">
        <v>99.9</v>
      </c>
      <c r="G2372">
        <v>98.4</v>
      </c>
      <c r="H2372">
        <v>133.1</v>
      </c>
      <c r="I2372">
        <v>137</v>
      </c>
      <c r="J2372">
        <v>100</v>
      </c>
      <c r="K2372">
        <v>100</v>
      </c>
      <c r="L2372" s="1" t="s">
        <v>5646</v>
      </c>
      <c r="M2372" t="s">
        <v>285</v>
      </c>
      <c r="N2372">
        <v>1</v>
      </c>
    </row>
    <row r="2373" spans="1:14" x14ac:dyDescent="0.25">
      <c r="A2373" s="3" t="str">
        <f>HYPERLINK("http://www.ncbi.nlm.nih.gov/gene/4140","4140")</f>
        <v>4140</v>
      </c>
      <c r="B2373" s="1" t="s">
        <v>5648</v>
      </c>
      <c r="C2373" t="s">
        <v>5649</v>
      </c>
      <c r="D2373">
        <v>144.4</v>
      </c>
      <c r="E2373">
        <v>150.19999999999999</v>
      </c>
      <c r="F2373">
        <v>99.9</v>
      </c>
      <c r="G2373">
        <v>98.8</v>
      </c>
      <c r="H2373">
        <v>136.9</v>
      </c>
      <c r="I2373">
        <v>141.6</v>
      </c>
      <c r="J2373">
        <v>100</v>
      </c>
      <c r="K2373">
        <v>100</v>
      </c>
      <c r="L2373" s="1" t="s">
        <v>5648</v>
      </c>
      <c r="M2373" t="s">
        <v>59</v>
      </c>
      <c r="N2373">
        <v>1</v>
      </c>
    </row>
    <row r="2374" spans="1:14" x14ac:dyDescent="0.25">
      <c r="A2374" s="3" t="str">
        <f>HYPERLINK("http://www.ncbi.nlm.nih.gov/gene/4141","4141")</f>
        <v>4141</v>
      </c>
      <c r="B2374" s="1" t="s">
        <v>5650</v>
      </c>
      <c r="C2374" t="s">
        <v>5651</v>
      </c>
      <c r="D2374">
        <v>111.2</v>
      </c>
      <c r="E2374">
        <v>114.4</v>
      </c>
      <c r="F2374">
        <v>99.7</v>
      </c>
      <c r="G2374">
        <v>97.4</v>
      </c>
      <c r="H2374">
        <v>134.9</v>
      </c>
      <c r="I2374">
        <v>138.69999999999999</v>
      </c>
      <c r="J2374">
        <v>100</v>
      </c>
      <c r="K2374">
        <v>100</v>
      </c>
      <c r="L2374" s="1" t="s">
        <v>5650</v>
      </c>
      <c r="M2374" t="s">
        <v>5652</v>
      </c>
      <c r="N2374">
        <v>4</v>
      </c>
    </row>
    <row r="2375" spans="1:14" x14ac:dyDescent="0.25">
      <c r="A2375" s="3" t="str">
        <f>HYPERLINK("http://www.ncbi.nlm.nih.gov/gene/92935","92935")</f>
        <v>92935</v>
      </c>
      <c r="B2375" s="1" t="s">
        <v>5653</v>
      </c>
      <c r="C2375" t="s">
        <v>5654</v>
      </c>
      <c r="D2375">
        <v>180.6</v>
      </c>
      <c r="E2375">
        <v>170.6</v>
      </c>
      <c r="F2375">
        <v>100</v>
      </c>
      <c r="G2375">
        <v>100</v>
      </c>
      <c r="H2375">
        <v>151.80000000000001</v>
      </c>
      <c r="I2375">
        <v>151.5</v>
      </c>
      <c r="J2375">
        <v>100</v>
      </c>
      <c r="K2375">
        <v>100</v>
      </c>
      <c r="L2375" s="1" t="s">
        <v>5653</v>
      </c>
      <c r="M2375" t="s">
        <v>5655</v>
      </c>
      <c r="N2375">
        <v>4</v>
      </c>
    </row>
    <row r="2376" spans="1:14" x14ac:dyDescent="0.25">
      <c r="A2376" s="3" t="str">
        <f>HYPERLINK("http://www.ncbi.nlm.nih.gov/gene/153562","153562")</f>
        <v>153562</v>
      </c>
      <c r="B2376" s="1" t="s">
        <v>5656</v>
      </c>
      <c r="C2376" t="s">
        <v>5657</v>
      </c>
      <c r="D2376">
        <v>186.3</v>
      </c>
      <c r="E2376">
        <v>186.4</v>
      </c>
      <c r="F2376">
        <v>99.2</v>
      </c>
      <c r="G2376">
        <v>96.1</v>
      </c>
      <c r="H2376">
        <v>210.6</v>
      </c>
      <c r="I2376">
        <v>217.9</v>
      </c>
      <c r="J2376">
        <v>100</v>
      </c>
      <c r="K2376">
        <v>100</v>
      </c>
      <c r="L2376" s="1" t="s">
        <v>5656</v>
      </c>
      <c r="M2376" t="s">
        <v>269</v>
      </c>
      <c r="N2376">
        <v>3</v>
      </c>
    </row>
    <row r="2377" spans="1:14" x14ac:dyDescent="0.25">
      <c r="A2377" s="3" t="str">
        <f>HYPERLINK("http://www.ncbi.nlm.nih.gov/gene/5648","5648")</f>
        <v>5648</v>
      </c>
      <c r="B2377" s="1" t="s">
        <v>5658</v>
      </c>
      <c r="C2377" t="s">
        <v>5659</v>
      </c>
      <c r="D2377">
        <v>138.6</v>
      </c>
      <c r="E2377">
        <v>146.6</v>
      </c>
      <c r="F2377">
        <v>100</v>
      </c>
      <c r="G2377">
        <v>99.9</v>
      </c>
      <c r="H2377">
        <v>150.69999999999999</v>
      </c>
      <c r="I2377">
        <v>154.30000000000001</v>
      </c>
      <c r="J2377">
        <v>100</v>
      </c>
      <c r="K2377">
        <v>100</v>
      </c>
      <c r="L2377" s="1" t="s">
        <v>5658</v>
      </c>
      <c r="M2377" t="s">
        <v>5660</v>
      </c>
      <c r="N2377">
        <v>5</v>
      </c>
    </row>
    <row r="2378" spans="1:14" x14ac:dyDescent="0.25">
      <c r="A2378" s="3" t="str">
        <f>HYPERLINK("http://www.ncbi.nlm.nih.gov/gene/10747","10747")</f>
        <v>10747</v>
      </c>
      <c r="B2378" s="1" t="s">
        <v>5661</v>
      </c>
      <c r="C2378" t="s">
        <v>5662</v>
      </c>
      <c r="D2378">
        <v>131</v>
      </c>
      <c r="E2378">
        <v>137.19999999999999</v>
      </c>
      <c r="F2378">
        <v>100</v>
      </c>
      <c r="G2378">
        <v>99.6</v>
      </c>
      <c r="H2378">
        <v>140.80000000000001</v>
      </c>
      <c r="I2378">
        <v>142.1</v>
      </c>
      <c r="J2378">
        <v>100</v>
      </c>
      <c r="K2378">
        <v>100</v>
      </c>
      <c r="L2378" s="1" t="s">
        <v>5661</v>
      </c>
      <c r="M2378" t="s">
        <v>502</v>
      </c>
      <c r="N2378">
        <v>2</v>
      </c>
    </row>
    <row r="2379" spans="1:14" x14ac:dyDescent="0.25">
      <c r="A2379" s="3" t="str">
        <f>HYPERLINK("http://www.ncbi.nlm.nih.gov/gene/22983","22983")</f>
        <v>22983</v>
      </c>
      <c r="B2379" s="1" t="s">
        <v>5663</v>
      </c>
      <c r="C2379" t="s">
        <v>5664</v>
      </c>
      <c r="D2379">
        <v>155.19999999999999</v>
      </c>
      <c r="E2379">
        <v>155.4</v>
      </c>
      <c r="F2379">
        <v>100</v>
      </c>
      <c r="G2379">
        <v>99.5</v>
      </c>
      <c r="H2379">
        <v>138.6</v>
      </c>
      <c r="I2379">
        <v>140.9</v>
      </c>
      <c r="J2379">
        <v>100</v>
      </c>
      <c r="K2379">
        <v>100</v>
      </c>
      <c r="L2379" s="1" t="s">
        <v>5663</v>
      </c>
      <c r="M2379" t="s">
        <v>189</v>
      </c>
      <c r="N2379">
        <v>2</v>
      </c>
    </row>
    <row r="2380" spans="1:14" x14ac:dyDescent="0.25">
      <c r="A2380" s="3" t="str">
        <f>HYPERLINK("http://www.ncbi.nlm.nih.gov/gene/84930","84930")</f>
        <v>84930</v>
      </c>
      <c r="B2380" s="1" t="s">
        <v>5665</v>
      </c>
      <c r="C2380" t="s">
        <v>5666</v>
      </c>
      <c r="D2380">
        <v>173</v>
      </c>
      <c r="E2380">
        <v>170</v>
      </c>
      <c r="F2380">
        <v>100</v>
      </c>
      <c r="G2380">
        <v>100</v>
      </c>
      <c r="H2380">
        <v>123.5</v>
      </c>
      <c r="I2380">
        <v>124.3</v>
      </c>
      <c r="J2380">
        <v>100</v>
      </c>
      <c r="K2380">
        <v>100</v>
      </c>
      <c r="L2380" s="1" t="s">
        <v>5665</v>
      </c>
      <c r="M2380" t="s">
        <v>16</v>
      </c>
      <c r="N2380">
        <v>2</v>
      </c>
    </row>
    <row r="2381" spans="1:14" x14ac:dyDescent="0.25">
      <c r="A2381" s="3" t="str">
        <f>HYPERLINK("http://www.ncbi.nlm.nih.gov/gene/4143","4143")</f>
        <v>4143</v>
      </c>
      <c r="B2381" s="1" t="s">
        <v>5667</v>
      </c>
      <c r="C2381" t="s">
        <v>5668</v>
      </c>
      <c r="D2381">
        <v>151.6</v>
      </c>
      <c r="E2381">
        <v>158.1</v>
      </c>
      <c r="F2381">
        <v>99.7</v>
      </c>
      <c r="G2381">
        <v>97.7</v>
      </c>
      <c r="H2381">
        <v>140.5</v>
      </c>
      <c r="I2381">
        <v>144.5</v>
      </c>
      <c r="J2381">
        <v>100</v>
      </c>
      <c r="K2381">
        <v>100</v>
      </c>
      <c r="L2381" s="1" t="s">
        <v>5667</v>
      </c>
      <c r="M2381" t="s">
        <v>5669</v>
      </c>
      <c r="N2381">
        <v>4</v>
      </c>
    </row>
    <row r="2382" spans="1:14" x14ac:dyDescent="0.25">
      <c r="A2382" s="3" t="str">
        <f>HYPERLINK("http://www.ncbi.nlm.nih.gov/gene/4144","4144")</f>
        <v>4144</v>
      </c>
      <c r="B2382" s="1" t="s">
        <v>5670</v>
      </c>
      <c r="C2382" t="s">
        <v>5671</v>
      </c>
      <c r="D2382">
        <v>104.2</v>
      </c>
      <c r="E2382">
        <v>106.6</v>
      </c>
      <c r="F2382">
        <v>99.6</v>
      </c>
      <c r="G2382">
        <v>96.4</v>
      </c>
      <c r="H2382">
        <v>134.69999999999999</v>
      </c>
      <c r="I2382">
        <v>138.5</v>
      </c>
      <c r="J2382">
        <v>100</v>
      </c>
      <c r="K2382">
        <v>100</v>
      </c>
      <c r="L2382" s="1" t="s">
        <v>5670</v>
      </c>
      <c r="M2382" t="s">
        <v>741</v>
      </c>
      <c r="N2382">
        <v>3</v>
      </c>
    </row>
    <row r="2383" spans="1:14" x14ac:dyDescent="0.25">
      <c r="A2383" s="3" t="str">
        <f>HYPERLINK("http://www.ncbi.nlm.nih.gov/gene/4148","4148")</f>
        <v>4148</v>
      </c>
      <c r="B2383" s="1" t="s">
        <v>5672</v>
      </c>
      <c r="C2383" t="s">
        <v>5673</v>
      </c>
      <c r="D2383">
        <v>106</v>
      </c>
      <c r="E2383">
        <v>112.2</v>
      </c>
      <c r="F2383">
        <v>84.7</v>
      </c>
      <c r="G2383">
        <v>84.6</v>
      </c>
      <c r="H2383">
        <v>139.6</v>
      </c>
      <c r="I2383">
        <v>142.5</v>
      </c>
      <c r="J2383">
        <v>100</v>
      </c>
      <c r="K2383">
        <v>100</v>
      </c>
      <c r="L2383" s="1" t="s">
        <v>5672</v>
      </c>
      <c r="M2383" t="s">
        <v>1190</v>
      </c>
      <c r="N2383">
        <v>3</v>
      </c>
    </row>
    <row r="2384" spans="1:14" x14ac:dyDescent="0.25">
      <c r="A2384" s="3" t="str">
        <f>HYPERLINK("http://www.ncbi.nlm.nih.gov/gene/9782","9782")</f>
        <v>9782</v>
      </c>
      <c r="B2384" s="1" t="s">
        <v>5674</v>
      </c>
      <c r="C2384" t="s">
        <v>5675</v>
      </c>
      <c r="D2384">
        <v>108</v>
      </c>
      <c r="E2384">
        <v>100.4</v>
      </c>
      <c r="F2384">
        <v>97</v>
      </c>
      <c r="G2384">
        <v>93.4</v>
      </c>
      <c r="H2384">
        <v>124.6</v>
      </c>
      <c r="I2384">
        <v>126.5</v>
      </c>
      <c r="J2384">
        <v>100</v>
      </c>
      <c r="K2384">
        <v>100</v>
      </c>
      <c r="L2384" s="1" t="s">
        <v>5674</v>
      </c>
      <c r="M2384" t="s">
        <v>617</v>
      </c>
      <c r="N2384">
        <v>2</v>
      </c>
    </row>
    <row r="2385" spans="1:14" x14ac:dyDescent="0.25">
      <c r="A2385" s="3" t="str">
        <f>HYPERLINK("http://www.ncbi.nlm.nih.gov/gene/4149","4149")</f>
        <v>4149</v>
      </c>
      <c r="B2385" s="1" t="s">
        <v>5676</v>
      </c>
      <c r="C2385" t="s">
        <v>5677</v>
      </c>
      <c r="D2385">
        <v>95.8</v>
      </c>
      <c r="E2385">
        <v>97.7</v>
      </c>
      <c r="F2385">
        <v>100</v>
      </c>
      <c r="G2385">
        <v>98.9</v>
      </c>
      <c r="H2385">
        <v>126.6</v>
      </c>
      <c r="I2385">
        <v>129.4</v>
      </c>
      <c r="J2385">
        <v>100</v>
      </c>
      <c r="K2385">
        <v>100</v>
      </c>
      <c r="L2385" s="1" t="s">
        <v>5676</v>
      </c>
      <c r="M2385" t="s">
        <v>19</v>
      </c>
      <c r="N2385">
        <v>2</v>
      </c>
    </row>
    <row r="2386" spans="1:14" x14ac:dyDescent="0.25">
      <c r="A2386" s="3" t="str">
        <f>HYPERLINK("http://www.ncbi.nlm.nih.gov/gene/55777","55777")</f>
        <v>55777</v>
      </c>
      <c r="B2386" s="1" t="s">
        <v>5678</v>
      </c>
      <c r="C2386" t="s">
        <v>5679</v>
      </c>
      <c r="D2386">
        <v>182.8</v>
      </c>
      <c r="E2386">
        <v>169.8</v>
      </c>
      <c r="F2386">
        <v>99.9</v>
      </c>
      <c r="G2386">
        <v>99.9</v>
      </c>
      <c r="H2386">
        <v>160.5</v>
      </c>
      <c r="I2386">
        <v>160.30000000000001</v>
      </c>
      <c r="J2386">
        <v>100</v>
      </c>
      <c r="K2386">
        <v>100</v>
      </c>
      <c r="L2386" s="1" t="s">
        <v>5678</v>
      </c>
      <c r="M2386" t="s">
        <v>995</v>
      </c>
      <c r="N2386">
        <v>3</v>
      </c>
    </row>
    <row r="2387" spans="1:14" x14ac:dyDescent="0.25">
      <c r="A2387" s="3" t="str">
        <f>HYPERLINK("http://www.ncbi.nlm.nih.gov/gene/4153","4153")</f>
        <v>4153</v>
      </c>
      <c r="B2387" s="1" t="s">
        <v>5680</v>
      </c>
      <c r="C2387" t="s">
        <v>5681</v>
      </c>
      <c r="D2387">
        <v>123.1</v>
      </c>
      <c r="E2387">
        <v>127.1</v>
      </c>
      <c r="F2387">
        <v>100</v>
      </c>
      <c r="G2387">
        <v>99.8</v>
      </c>
      <c r="H2387">
        <v>153.1</v>
      </c>
      <c r="I2387">
        <v>157.4</v>
      </c>
      <c r="J2387">
        <v>100</v>
      </c>
      <c r="K2387">
        <v>100</v>
      </c>
      <c r="L2387" s="1" t="s">
        <v>5680</v>
      </c>
      <c r="M2387" t="s">
        <v>502</v>
      </c>
      <c r="N2387">
        <v>2</v>
      </c>
    </row>
    <row r="2388" spans="1:14" x14ac:dyDescent="0.25">
      <c r="A2388" s="3" t="str">
        <f>HYPERLINK("http://www.ncbi.nlm.nih.gov/gene/79143","79143")</f>
        <v>79143</v>
      </c>
      <c r="B2388" s="1" t="s">
        <v>5682</v>
      </c>
      <c r="C2388" t="s">
        <v>5683</v>
      </c>
      <c r="D2388">
        <v>104.1</v>
      </c>
      <c r="E2388">
        <v>108.6</v>
      </c>
      <c r="F2388">
        <v>100</v>
      </c>
      <c r="G2388">
        <v>99.5</v>
      </c>
      <c r="H2388">
        <v>222.6</v>
      </c>
      <c r="I2388">
        <v>230.4</v>
      </c>
      <c r="J2388">
        <v>100</v>
      </c>
      <c r="K2388">
        <v>100</v>
      </c>
      <c r="L2388" s="1" t="s">
        <v>5682</v>
      </c>
      <c r="M2388" t="s">
        <v>38</v>
      </c>
      <c r="N2388">
        <v>4</v>
      </c>
    </row>
    <row r="2389" spans="1:14" x14ac:dyDescent="0.25">
      <c r="A2389" s="3" t="str">
        <f>HYPERLINK("http://www.ncbi.nlm.nih.gov/gene/8720","8720")</f>
        <v>8720</v>
      </c>
      <c r="B2389" s="1" t="s">
        <v>5684</v>
      </c>
      <c r="C2389" t="s">
        <v>5685</v>
      </c>
      <c r="D2389">
        <v>134.4</v>
      </c>
      <c r="E2389">
        <v>140.9</v>
      </c>
      <c r="F2389">
        <v>99.6</v>
      </c>
      <c r="G2389">
        <v>98.4</v>
      </c>
      <c r="H2389">
        <v>140.19999999999999</v>
      </c>
      <c r="I2389">
        <v>144.69999999999999</v>
      </c>
      <c r="J2389">
        <v>100</v>
      </c>
      <c r="K2389">
        <v>100</v>
      </c>
      <c r="L2389" s="1" t="s">
        <v>5684</v>
      </c>
      <c r="M2389" t="s">
        <v>53</v>
      </c>
      <c r="N2389">
        <v>2</v>
      </c>
    </row>
    <row r="2390" spans="1:14" x14ac:dyDescent="0.25">
      <c r="A2390" s="3" t="str">
        <f>HYPERLINK("http://www.ncbi.nlm.nih.gov/gene/51360","51360")</f>
        <v>51360</v>
      </c>
      <c r="B2390" s="1" t="s">
        <v>5686</v>
      </c>
      <c r="C2390" t="s">
        <v>5687</v>
      </c>
      <c r="D2390">
        <v>127</v>
      </c>
      <c r="E2390">
        <v>133</v>
      </c>
      <c r="F2390">
        <v>100</v>
      </c>
      <c r="G2390">
        <v>99</v>
      </c>
      <c r="H2390">
        <v>124.6</v>
      </c>
      <c r="I2390">
        <v>128.4</v>
      </c>
      <c r="J2390">
        <v>100</v>
      </c>
      <c r="K2390">
        <v>100</v>
      </c>
      <c r="L2390" s="1" t="s">
        <v>5686</v>
      </c>
      <c r="M2390" t="s">
        <v>5688</v>
      </c>
      <c r="N2390">
        <v>5</v>
      </c>
    </row>
    <row r="2391" spans="1:14" x14ac:dyDescent="0.25">
      <c r="A2391" s="3" t="str">
        <f>HYPERLINK("http://www.ncbi.nlm.nih.gov/gene/4157","4157")</f>
        <v>4157</v>
      </c>
      <c r="B2391" s="1" t="s">
        <v>5689</v>
      </c>
      <c r="C2391" t="s">
        <v>5690</v>
      </c>
      <c r="D2391">
        <v>250.2</v>
      </c>
      <c r="E2391">
        <v>227.7</v>
      </c>
      <c r="F2391">
        <v>100</v>
      </c>
      <c r="G2391">
        <v>100</v>
      </c>
      <c r="H2391">
        <v>144</v>
      </c>
      <c r="I2391">
        <v>146.80000000000001</v>
      </c>
      <c r="J2391">
        <v>100</v>
      </c>
      <c r="K2391">
        <v>100</v>
      </c>
      <c r="L2391" s="1" t="s">
        <v>5689</v>
      </c>
      <c r="M2391" t="s">
        <v>5691</v>
      </c>
      <c r="N2391">
        <v>2</v>
      </c>
    </row>
    <row r="2392" spans="1:14" x14ac:dyDescent="0.25">
      <c r="A2392" s="3" t="str">
        <f>HYPERLINK("http://www.ncbi.nlm.nih.gov/gene/4158","4158")</f>
        <v>4158</v>
      </c>
      <c r="B2392" s="1" t="s">
        <v>5692</v>
      </c>
      <c r="C2392" t="s">
        <v>5693</v>
      </c>
      <c r="D2392">
        <v>184.1</v>
      </c>
      <c r="E2392">
        <v>183.7</v>
      </c>
      <c r="F2392">
        <v>99.9</v>
      </c>
      <c r="G2392">
        <v>98.3</v>
      </c>
      <c r="H2392">
        <v>163</v>
      </c>
      <c r="I2392">
        <v>166.6</v>
      </c>
      <c r="J2392">
        <v>100</v>
      </c>
      <c r="K2392">
        <v>100</v>
      </c>
      <c r="L2392" s="1" t="s">
        <v>5692</v>
      </c>
      <c r="M2392" t="s">
        <v>5694</v>
      </c>
      <c r="N2392">
        <v>4</v>
      </c>
    </row>
    <row r="2393" spans="1:14" x14ac:dyDescent="0.25">
      <c r="A2393" s="3" t="str">
        <f>HYPERLINK("http://www.ncbi.nlm.nih.gov/gene/4160","4160")</f>
        <v>4160</v>
      </c>
      <c r="B2393" s="1" t="s">
        <v>5695</v>
      </c>
      <c r="C2393" t="s">
        <v>5696</v>
      </c>
      <c r="D2393">
        <v>214.5</v>
      </c>
      <c r="E2393">
        <v>225.6</v>
      </c>
      <c r="F2393">
        <v>100</v>
      </c>
      <c r="G2393">
        <v>100</v>
      </c>
      <c r="H2393">
        <v>153.30000000000001</v>
      </c>
      <c r="I2393">
        <v>155.4</v>
      </c>
      <c r="J2393">
        <v>100</v>
      </c>
      <c r="K2393">
        <v>100</v>
      </c>
      <c r="L2393" s="1" t="s">
        <v>5695</v>
      </c>
      <c r="M2393" t="s">
        <v>22</v>
      </c>
      <c r="N2393">
        <v>1</v>
      </c>
    </row>
    <row r="2394" spans="1:14" x14ac:dyDescent="0.25">
      <c r="A2394" s="3" t="str">
        <f>HYPERLINK("http://www.ncbi.nlm.nih.gov/gene/4163","4163")</f>
        <v>4163</v>
      </c>
      <c r="B2394" s="1" t="s">
        <v>5697</v>
      </c>
      <c r="C2394" t="s">
        <v>5698</v>
      </c>
      <c r="D2394">
        <v>121.3</v>
      </c>
      <c r="E2394">
        <v>127.2</v>
      </c>
      <c r="F2394">
        <v>100</v>
      </c>
      <c r="G2394">
        <v>99.7</v>
      </c>
      <c r="H2394">
        <v>144.6</v>
      </c>
      <c r="I2394">
        <v>148.6</v>
      </c>
      <c r="J2394">
        <v>100</v>
      </c>
      <c r="K2394">
        <v>100</v>
      </c>
      <c r="L2394" s="1" t="s">
        <v>5697</v>
      </c>
      <c r="M2394" t="s">
        <v>22</v>
      </c>
      <c r="N2394">
        <v>1</v>
      </c>
    </row>
    <row r="2395" spans="1:14" x14ac:dyDescent="0.25">
      <c r="A2395" s="3" t="str">
        <f>HYPERLINK("http://www.ncbi.nlm.nih.gov/gene/56922","56922")</f>
        <v>56922</v>
      </c>
      <c r="B2395" s="1" t="s">
        <v>5699</v>
      </c>
      <c r="C2395" t="s">
        <v>5700</v>
      </c>
      <c r="D2395">
        <v>170.6</v>
      </c>
      <c r="E2395">
        <v>175.5</v>
      </c>
      <c r="F2395">
        <v>100</v>
      </c>
      <c r="G2395">
        <v>99.8</v>
      </c>
      <c r="H2395">
        <v>136.5</v>
      </c>
      <c r="I2395">
        <v>139.9</v>
      </c>
      <c r="J2395">
        <v>100</v>
      </c>
      <c r="K2395">
        <v>100</v>
      </c>
      <c r="L2395" s="1" t="s">
        <v>5699</v>
      </c>
      <c r="M2395" t="s">
        <v>38</v>
      </c>
      <c r="N2395">
        <v>4</v>
      </c>
    </row>
    <row r="2396" spans="1:14" x14ac:dyDescent="0.25">
      <c r="A2396" s="3" t="str">
        <f>HYPERLINK("http://www.ncbi.nlm.nih.gov/gene/64087","64087")</f>
        <v>64087</v>
      </c>
      <c r="B2396" s="1" t="s">
        <v>5701</v>
      </c>
      <c r="C2396" t="s">
        <v>5702</v>
      </c>
      <c r="D2396">
        <v>138</v>
      </c>
      <c r="E2396">
        <v>140.4</v>
      </c>
      <c r="F2396">
        <v>99.9</v>
      </c>
      <c r="G2396">
        <v>98.4</v>
      </c>
      <c r="H2396">
        <v>136.1</v>
      </c>
      <c r="I2396">
        <v>139.1</v>
      </c>
      <c r="J2396">
        <v>100</v>
      </c>
      <c r="K2396">
        <v>100</v>
      </c>
      <c r="L2396" s="1" t="s">
        <v>5701</v>
      </c>
      <c r="M2396" t="s">
        <v>38</v>
      </c>
      <c r="N2396">
        <v>4</v>
      </c>
    </row>
    <row r="2397" spans="1:14" x14ac:dyDescent="0.25">
      <c r="A2397" s="3" t="str">
        <f>HYPERLINK("http://www.ncbi.nlm.nih.gov/gene/84693","84693")</f>
        <v>84693</v>
      </c>
      <c r="B2397" s="1" t="s">
        <v>5703</v>
      </c>
      <c r="C2397" t="s">
        <v>5704</v>
      </c>
      <c r="D2397">
        <v>156.5</v>
      </c>
      <c r="E2397">
        <v>155.69999999999999</v>
      </c>
      <c r="F2397">
        <v>100</v>
      </c>
      <c r="G2397">
        <v>100</v>
      </c>
      <c r="H2397">
        <v>157.69999999999999</v>
      </c>
      <c r="I2397">
        <v>162.9</v>
      </c>
      <c r="J2397">
        <v>100</v>
      </c>
      <c r="K2397">
        <v>100</v>
      </c>
      <c r="L2397" s="1" t="s">
        <v>5703</v>
      </c>
      <c r="M2397" t="s">
        <v>116</v>
      </c>
      <c r="N2397">
        <v>3</v>
      </c>
    </row>
    <row r="2398" spans="1:14" x14ac:dyDescent="0.25">
      <c r="A2398" s="3" t="str">
        <f>HYPERLINK("http://www.ncbi.nlm.nih.gov/gene/90411","90411")</f>
        <v>90411</v>
      </c>
      <c r="B2398" s="1" t="s">
        <v>5705</v>
      </c>
      <c r="C2398" t="s">
        <v>5706</v>
      </c>
      <c r="D2398">
        <v>84.9</v>
      </c>
      <c r="E2398">
        <v>85.7</v>
      </c>
      <c r="F2398">
        <v>99.5</v>
      </c>
      <c r="G2398">
        <v>96.9</v>
      </c>
      <c r="H2398">
        <v>133.30000000000001</v>
      </c>
      <c r="I2398">
        <v>136.80000000000001</v>
      </c>
      <c r="J2398">
        <v>100</v>
      </c>
      <c r="K2398">
        <v>100</v>
      </c>
      <c r="L2398" s="1" t="s">
        <v>5705</v>
      </c>
      <c r="M2398" t="s">
        <v>5707</v>
      </c>
      <c r="N2398">
        <v>3</v>
      </c>
    </row>
    <row r="2399" spans="1:14" x14ac:dyDescent="0.25">
      <c r="A2399" s="3" t="str">
        <f>HYPERLINK("http://www.ncbi.nlm.nih.gov/gene/345643","345643")</f>
        <v>345643</v>
      </c>
      <c r="B2399" s="1" t="s">
        <v>5708</v>
      </c>
      <c r="C2399" t="s">
        <v>5709</v>
      </c>
      <c r="D2399">
        <v>78.099999999999994</v>
      </c>
      <c r="E2399">
        <v>77.8</v>
      </c>
      <c r="F2399">
        <v>99.3</v>
      </c>
      <c r="G2399">
        <v>96.2</v>
      </c>
      <c r="H2399">
        <v>131.69999999999999</v>
      </c>
      <c r="I2399">
        <v>134.80000000000001</v>
      </c>
      <c r="J2399">
        <v>100</v>
      </c>
      <c r="K2399">
        <v>100</v>
      </c>
      <c r="L2399" s="1" t="s">
        <v>5708</v>
      </c>
      <c r="M2399" t="s">
        <v>1495</v>
      </c>
      <c r="N2399">
        <v>2</v>
      </c>
    </row>
    <row r="2400" spans="1:14" x14ac:dyDescent="0.25">
      <c r="A2400" s="3" t="str">
        <f>HYPERLINK("http://www.ncbi.nlm.nih.gov/gene/55388","55388")</f>
        <v>55388</v>
      </c>
      <c r="B2400" s="1" t="s">
        <v>5710</v>
      </c>
      <c r="C2400" t="s">
        <v>5711</v>
      </c>
      <c r="D2400">
        <v>134.19999999999999</v>
      </c>
      <c r="E2400">
        <v>137.5</v>
      </c>
      <c r="F2400">
        <v>100</v>
      </c>
      <c r="G2400">
        <v>99.9</v>
      </c>
      <c r="H2400">
        <v>128.69999999999999</v>
      </c>
      <c r="I2400">
        <v>132.9</v>
      </c>
      <c r="J2400">
        <v>100</v>
      </c>
      <c r="K2400">
        <v>100</v>
      </c>
      <c r="L2400" s="1" t="s">
        <v>5710</v>
      </c>
      <c r="M2400" t="s">
        <v>502</v>
      </c>
      <c r="N2400">
        <v>2</v>
      </c>
    </row>
    <row r="2401" spans="1:14" x14ac:dyDescent="0.25">
      <c r="A2401" s="3" t="str">
        <f>HYPERLINK("http://www.ncbi.nlm.nih.gov/gene/4171","4171")</f>
        <v>4171</v>
      </c>
      <c r="B2401" s="1" t="s">
        <v>5712</v>
      </c>
      <c r="C2401" t="s">
        <v>5713</v>
      </c>
      <c r="D2401">
        <v>151.9</v>
      </c>
      <c r="E2401">
        <v>158.80000000000001</v>
      </c>
      <c r="F2401">
        <v>100</v>
      </c>
      <c r="G2401">
        <v>100</v>
      </c>
      <c r="H2401">
        <v>139.1</v>
      </c>
      <c r="I2401">
        <v>143.9</v>
      </c>
      <c r="J2401">
        <v>100</v>
      </c>
      <c r="K2401">
        <v>100</v>
      </c>
      <c r="L2401" s="1" t="s">
        <v>5712</v>
      </c>
      <c r="M2401" t="s">
        <v>76</v>
      </c>
      <c r="N2401">
        <v>2</v>
      </c>
    </row>
    <row r="2402" spans="1:14" x14ac:dyDescent="0.25">
      <c r="A2402" s="3" t="str">
        <f>HYPERLINK("http://www.ncbi.nlm.nih.gov/gene/8888","8888")</f>
        <v>8888</v>
      </c>
      <c r="B2402" s="1" t="s">
        <v>5714</v>
      </c>
      <c r="C2402" t="s">
        <v>5715</v>
      </c>
      <c r="D2402">
        <v>145.30000000000001</v>
      </c>
      <c r="E2402">
        <v>149.9</v>
      </c>
      <c r="F2402">
        <v>99.9</v>
      </c>
      <c r="G2402">
        <v>99.1</v>
      </c>
      <c r="H2402">
        <v>142.30000000000001</v>
      </c>
      <c r="I2402">
        <v>146.6</v>
      </c>
      <c r="J2402">
        <v>100</v>
      </c>
      <c r="K2402">
        <v>100</v>
      </c>
      <c r="L2402" s="1" t="s">
        <v>5714</v>
      </c>
      <c r="M2402" t="s">
        <v>44</v>
      </c>
      <c r="N2402">
        <v>3</v>
      </c>
    </row>
    <row r="2403" spans="1:14" x14ac:dyDescent="0.25">
      <c r="A2403" s="3" t="str">
        <f>HYPERLINK("http://www.ncbi.nlm.nih.gov/gene/4173","4173")</f>
        <v>4173</v>
      </c>
      <c r="B2403" s="1" t="s">
        <v>5716</v>
      </c>
      <c r="C2403" t="s">
        <v>5717</v>
      </c>
      <c r="D2403">
        <v>136.5</v>
      </c>
      <c r="E2403">
        <v>140.80000000000001</v>
      </c>
      <c r="F2403">
        <v>95.5</v>
      </c>
      <c r="G2403">
        <v>95</v>
      </c>
      <c r="H2403">
        <v>115.4</v>
      </c>
      <c r="I2403">
        <v>118.9</v>
      </c>
      <c r="J2403">
        <v>95.5</v>
      </c>
      <c r="K2403">
        <v>95.5</v>
      </c>
      <c r="L2403" s="1" t="s">
        <v>5716</v>
      </c>
      <c r="M2403" t="s">
        <v>1097</v>
      </c>
      <c r="N2403">
        <v>3</v>
      </c>
    </row>
    <row r="2404" spans="1:14" x14ac:dyDescent="0.25">
      <c r="A2404" s="3" t="str">
        <f>HYPERLINK("http://www.ncbi.nlm.nih.gov/gene/4174","4174")</f>
        <v>4174</v>
      </c>
      <c r="B2404" s="1" t="s">
        <v>5718</v>
      </c>
      <c r="C2404" t="s">
        <v>5719</v>
      </c>
      <c r="D2404">
        <v>119.8</v>
      </c>
      <c r="E2404">
        <v>125.8</v>
      </c>
      <c r="F2404">
        <v>100</v>
      </c>
      <c r="G2404">
        <v>99.7</v>
      </c>
      <c r="H2404">
        <v>120.7</v>
      </c>
      <c r="I2404">
        <v>124.1</v>
      </c>
      <c r="J2404">
        <v>100</v>
      </c>
      <c r="K2404">
        <v>100</v>
      </c>
      <c r="L2404" s="1" t="s">
        <v>5718</v>
      </c>
      <c r="M2404" t="s">
        <v>53</v>
      </c>
      <c r="N2404">
        <v>2</v>
      </c>
    </row>
    <row r="2405" spans="1:14" x14ac:dyDescent="0.25">
      <c r="A2405" s="3" t="str">
        <f>HYPERLINK("http://www.ncbi.nlm.nih.gov/gene/4175","4175")</f>
        <v>4175</v>
      </c>
      <c r="B2405" s="1" t="s">
        <v>5720</v>
      </c>
      <c r="C2405" t="s">
        <v>5721</v>
      </c>
      <c r="D2405">
        <v>153.9</v>
      </c>
      <c r="E2405">
        <v>158.80000000000001</v>
      </c>
      <c r="F2405">
        <v>100</v>
      </c>
      <c r="G2405">
        <v>100</v>
      </c>
      <c r="H2405">
        <v>141.69999999999999</v>
      </c>
      <c r="I2405">
        <v>146.19999999999999</v>
      </c>
      <c r="J2405">
        <v>100</v>
      </c>
      <c r="K2405">
        <v>100</v>
      </c>
      <c r="L2405" s="1" t="s">
        <v>5720</v>
      </c>
      <c r="M2405" t="s">
        <v>285</v>
      </c>
      <c r="N2405">
        <v>1</v>
      </c>
    </row>
    <row r="2406" spans="1:14" x14ac:dyDescent="0.25">
      <c r="A2406" s="3" t="str">
        <f>HYPERLINK("http://www.ncbi.nlm.nih.gov/gene/84515","84515")</f>
        <v>84515</v>
      </c>
      <c r="B2406" s="1" t="s">
        <v>5722</v>
      </c>
      <c r="C2406" t="s">
        <v>5723</v>
      </c>
      <c r="D2406">
        <v>132.9</v>
      </c>
      <c r="E2406">
        <v>136.80000000000001</v>
      </c>
      <c r="F2406">
        <v>100</v>
      </c>
      <c r="G2406">
        <v>99.6</v>
      </c>
      <c r="H2406">
        <v>126.8</v>
      </c>
      <c r="I2406">
        <v>130.80000000000001</v>
      </c>
      <c r="J2406">
        <v>94.4</v>
      </c>
      <c r="K2406">
        <v>94.4</v>
      </c>
      <c r="L2406" s="1" t="s">
        <v>5722</v>
      </c>
      <c r="M2406" t="s">
        <v>535</v>
      </c>
      <c r="N2406">
        <v>3</v>
      </c>
    </row>
    <row r="2407" spans="1:14" x14ac:dyDescent="0.25">
      <c r="A2407" s="3" t="str">
        <f>HYPERLINK("http://www.ncbi.nlm.nih.gov/gene/254394","254394")</f>
        <v>254394</v>
      </c>
      <c r="B2407" s="1" t="s">
        <v>5724</v>
      </c>
      <c r="C2407" t="s">
        <v>5725</v>
      </c>
      <c r="D2407">
        <v>153.4</v>
      </c>
      <c r="E2407">
        <v>153</v>
      </c>
      <c r="F2407">
        <v>99.9</v>
      </c>
      <c r="G2407">
        <v>99.8</v>
      </c>
      <c r="H2407">
        <v>153.4</v>
      </c>
      <c r="I2407">
        <v>156.4</v>
      </c>
      <c r="J2407">
        <v>100</v>
      </c>
      <c r="K2407">
        <v>100</v>
      </c>
      <c r="L2407" s="1" t="s">
        <v>5724</v>
      </c>
      <c r="M2407" t="s">
        <v>5726</v>
      </c>
      <c r="N2407">
        <v>4</v>
      </c>
    </row>
    <row r="2408" spans="1:14" x14ac:dyDescent="0.25">
      <c r="A2408" s="3" t="str">
        <f>HYPERLINK("http://www.ncbi.nlm.nih.gov/gene/57192","57192")</f>
        <v>57192</v>
      </c>
      <c r="B2408" s="1" t="s">
        <v>5727</v>
      </c>
      <c r="C2408" t="s">
        <v>5728</v>
      </c>
      <c r="D2408">
        <v>152.19999999999999</v>
      </c>
      <c r="E2408">
        <v>159</v>
      </c>
      <c r="F2408">
        <v>99.8</v>
      </c>
      <c r="G2408">
        <v>98.4</v>
      </c>
      <c r="H2408">
        <v>128.9</v>
      </c>
      <c r="I2408">
        <v>132.30000000000001</v>
      </c>
      <c r="J2408">
        <v>100</v>
      </c>
      <c r="K2408">
        <v>100</v>
      </c>
      <c r="L2408" s="1" t="s">
        <v>5727</v>
      </c>
      <c r="M2408" t="s">
        <v>38</v>
      </c>
      <c r="N2408">
        <v>4</v>
      </c>
    </row>
    <row r="2409" spans="1:14" x14ac:dyDescent="0.25">
      <c r="A2409" s="3" t="str">
        <f>HYPERLINK("http://www.ncbi.nlm.nih.gov/gene/79648","79648")</f>
        <v>79648</v>
      </c>
      <c r="B2409" s="1" t="s">
        <v>5729</v>
      </c>
      <c r="C2409" t="s">
        <v>5730</v>
      </c>
      <c r="D2409">
        <v>149.9</v>
      </c>
      <c r="E2409">
        <v>149.5</v>
      </c>
      <c r="F2409">
        <v>100</v>
      </c>
      <c r="G2409">
        <v>99.4</v>
      </c>
      <c r="H2409">
        <v>129.69999999999999</v>
      </c>
      <c r="I2409">
        <v>133.19999999999999</v>
      </c>
      <c r="J2409">
        <v>100</v>
      </c>
      <c r="K2409">
        <v>100</v>
      </c>
      <c r="L2409" s="1" t="s">
        <v>5729</v>
      </c>
      <c r="M2409" t="s">
        <v>228</v>
      </c>
      <c r="N2409">
        <v>3</v>
      </c>
    </row>
    <row r="2410" spans="1:14" x14ac:dyDescent="0.25">
      <c r="A2410" s="3" t="str">
        <f>HYPERLINK("http://www.ncbi.nlm.nih.gov/gene/55784","55784")</f>
        <v>55784</v>
      </c>
      <c r="B2410" s="1" t="s">
        <v>5731</v>
      </c>
      <c r="D2410">
        <v>148.69999999999999</v>
      </c>
      <c r="E2410">
        <v>146.5</v>
      </c>
      <c r="F2410">
        <v>99.7</v>
      </c>
      <c r="G2410">
        <v>98.2</v>
      </c>
      <c r="H2410">
        <v>125.4</v>
      </c>
      <c r="I2410">
        <v>127.5</v>
      </c>
      <c r="J2410">
        <v>100</v>
      </c>
      <c r="K2410">
        <v>100</v>
      </c>
      <c r="L2410" s="1" t="s">
        <v>5731</v>
      </c>
      <c r="M2410" t="s">
        <v>180</v>
      </c>
      <c r="N2410">
        <v>3</v>
      </c>
    </row>
    <row r="2411" spans="1:14" x14ac:dyDescent="0.25">
      <c r="A2411" s="3" t="str">
        <f>HYPERLINK("http://www.ncbi.nlm.nih.gov/gene/63933","63933")</f>
        <v>63933</v>
      </c>
      <c r="B2411" s="1" t="s">
        <v>5732</v>
      </c>
      <c r="C2411" t="s">
        <v>5733</v>
      </c>
      <c r="D2411">
        <v>68.400000000000006</v>
      </c>
      <c r="E2411">
        <v>68.3</v>
      </c>
      <c r="F2411">
        <v>99.5</v>
      </c>
      <c r="G2411">
        <v>91.5</v>
      </c>
      <c r="H2411">
        <v>104</v>
      </c>
      <c r="I2411">
        <v>105.1</v>
      </c>
      <c r="J2411">
        <v>100</v>
      </c>
      <c r="K2411">
        <v>99.8</v>
      </c>
      <c r="L2411" s="1" t="s">
        <v>5732</v>
      </c>
      <c r="M2411" t="s">
        <v>265</v>
      </c>
      <c r="N2411">
        <v>2</v>
      </c>
    </row>
    <row r="2412" spans="1:14" x14ac:dyDescent="0.25">
      <c r="A2412" s="3" t="str">
        <f>HYPERLINK("http://www.ncbi.nlm.nih.gov/gene/4190","4190")</f>
        <v>4190</v>
      </c>
      <c r="B2412" s="1" t="s">
        <v>5734</v>
      </c>
      <c r="C2412" t="s">
        <v>5735</v>
      </c>
      <c r="D2412">
        <v>110.4</v>
      </c>
      <c r="E2412">
        <v>112.8</v>
      </c>
      <c r="F2412">
        <v>100</v>
      </c>
      <c r="G2412">
        <v>99</v>
      </c>
      <c r="H2412">
        <v>111.4</v>
      </c>
      <c r="I2412">
        <v>114.4</v>
      </c>
      <c r="J2412">
        <v>100</v>
      </c>
      <c r="K2412">
        <v>100</v>
      </c>
      <c r="L2412" s="1" t="s">
        <v>5734</v>
      </c>
      <c r="M2412" t="s">
        <v>2188</v>
      </c>
      <c r="N2412">
        <v>3</v>
      </c>
    </row>
    <row r="2413" spans="1:14" x14ac:dyDescent="0.25">
      <c r="A2413" s="3" t="str">
        <f>HYPERLINK("http://www.ncbi.nlm.nih.gov/gene/4191","4191")</f>
        <v>4191</v>
      </c>
      <c r="B2413" s="1" t="s">
        <v>5736</v>
      </c>
      <c r="C2413" t="s">
        <v>5737</v>
      </c>
      <c r="D2413">
        <v>113</v>
      </c>
      <c r="E2413">
        <v>116.9</v>
      </c>
      <c r="F2413">
        <v>98</v>
      </c>
      <c r="G2413">
        <v>97.9</v>
      </c>
      <c r="H2413">
        <v>140.9</v>
      </c>
      <c r="I2413">
        <v>144</v>
      </c>
      <c r="J2413">
        <v>100</v>
      </c>
      <c r="K2413">
        <v>100</v>
      </c>
      <c r="L2413" s="1" t="s">
        <v>5736</v>
      </c>
      <c r="M2413" t="s">
        <v>5738</v>
      </c>
      <c r="N2413">
        <v>5</v>
      </c>
    </row>
    <row r="2414" spans="1:14" x14ac:dyDescent="0.25">
      <c r="A2414" s="3" t="str">
        <f>HYPERLINK("http://www.ncbi.nlm.nih.gov/gene/4194","4194")</f>
        <v>4194</v>
      </c>
      <c r="B2414" s="1" t="s">
        <v>5739</v>
      </c>
      <c r="C2414" t="s">
        <v>5740</v>
      </c>
      <c r="D2414">
        <v>186.5</v>
      </c>
      <c r="E2414">
        <v>182.7</v>
      </c>
      <c r="F2414">
        <v>99.9</v>
      </c>
      <c r="G2414">
        <v>99</v>
      </c>
      <c r="H2414">
        <v>139.5</v>
      </c>
      <c r="I2414">
        <v>140.9</v>
      </c>
      <c r="J2414">
        <v>100</v>
      </c>
      <c r="K2414">
        <v>100</v>
      </c>
      <c r="L2414" s="1" t="s">
        <v>5739</v>
      </c>
      <c r="M2414" t="s">
        <v>5323</v>
      </c>
      <c r="N2414">
        <v>2</v>
      </c>
    </row>
    <row r="2415" spans="1:14" x14ac:dyDescent="0.25">
      <c r="A2415" s="3" t="str">
        <f>HYPERLINK("http://www.ncbi.nlm.nih.gov/gene/2122","2122")</f>
        <v>2122</v>
      </c>
      <c r="B2415" s="1" t="s">
        <v>5741</v>
      </c>
      <c r="C2415" t="s">
        <v>5742</v>
      </c>
      <c r="D2415">
        <v>160.9</v>
      </c>
      <c r="E2415">
        <v>157.30000000000001</v>
      </c>
      <c r="F2415">
        <v>100</v>
      </c>
      <c r="G2415">
        <v>99.9</v>
      </c>
      <c r="H2415">
        <v>145.9</v>
      </c>
      <c r="I2415">
        <v>148.80000000000001</v>
      </c>
      <c r="J2415">
        <v>100</v>
      </c>
      <c r="K2415">
        <v>100</v>
      </c>
      <c r="L2415" s="1" t="s">
        <v>5741</v>
      </c>
      <c r="M2415" t="s">
        <v>4453</v>
      </c>
      <c r="N2415">
        <v>4</v>
      </c>
    </row>
    <row r="2416" spans="1:14" x14ac:dyDescent="0.25">
      <c r="A2416" s="3" t="str">
        <f>HYPERLINK("http://www.ncbi.nlm.nih.gov/gene/4204","4204")</f>
        <v>4204</v>
      </c>
      <c r="B2416" s="1" t="s">
        <v>5743</v>
      </c>
      <c r="C2416" t="s">
        <v>5744</v>
      </c>
      <c r="D2416">
        <v>165.3</v>
      </c>
      <c r="E2416">
        <v>149.69999999999999</v>
      </c>
      <c r="F2416">
        <v>100</v>
      </c>
      <c r="G2416">
        <v>98.7</v>
      </c>
      <c r="H2416">
        <v>100.5</v>
      </c>
      <c r="I2416">
        <v>100.3</v>
      </c>
      <c r="J2416">
        <v>100</v>
      </c>
      <c r="K2416">
        <v>99.9</v>
      </c>
      <c r="L2416" s="1" t="s">
        <v>5743</v>
      </c>
      <c r="M2416" t="s">
        <v>1939</v>
      </c>
      <c r="N2416">
        <v>4</v>
      </c>
    </row>
    <row r="2417" spans="1:14" x14ac:dyDescent="0.25">
      <c r="A2417" s="3" t="str">
        <f>HYPERLINK("http://www.ncbi.nlm.nih.gov/gene/51102","51102")</f>
        <v>51102</v>
      </c>
      <c r="B2417" s="1" t="s">
        <v>5745</v>
      </c>
      <c r="C2417" t="s">
        <v>5746</v>
      </c>
      <c r="D2417">
        <v>112.7</v>
      </c>
      <c r="E2417">
        <v>115.4</v>
      </c>
      <c r="F2417">
        <v>100</v>
      </c>
      <c r="G2417">
        <v>98.9</v>
      </c>
      <c r="H2417">
        <v>137.1</v>
      </c>
      <c r="I2417">
        <v>140.69999999999999</v>
      </c>
      <c r="J2417">
        <v>100</v>
      </c>
      <c r="K2417">
        <v>100</v>
      </c>
      <c r="L2417" s="1" t="s">
        <v>5745</v>
      </c>
      <c r="M2417" t="s">
        <v>597</v>
      </c>
      <c r="N2417">
        <v>5</v>
      </c>
    </row>
    <row r="2418" spans="1:14" x14ac:dyDescent="0.25">
      <c r="A2418" s="3" t="str">
        <f>HYPERLINK("http://www.ncbi.nlm.nih.gov/gene/9968","9968")</f>
        <v>9968</v>
      </c>
      <c r="B2418" s="1" t="s">
        <v>5747</v>
      </c>
      <c r="C2418" t="s">
        <v>5748</v>
      </c>
      <c r="D2418">
        <v>99</v>
      </c>
      <c r="E2418">
        <v>101.2</v>
      </c>
      <c r="F2418">
        <v>99.8</v>
      </c>
      <c r="G2418">
        <v>96.7</v>
      </c>
      <c r="H2418">
        <v>139.1</v>
      </c>
      <c r="I2418">
        <v>142.80000000000001</v>
      </c>
      <c r="J2418">
        <v>100</v>
      </c>
      <c r="K2418">
        <v>100</v>
      </c>
      <c r="L2418" s="1" t="s">
        <v>5747</v>
      </c>
      <c r="M2418" t="s">
        <v>5749</v>
      </c>
      <c r="N2418">
        <v>6</v>
      </c>
    </row>
    <row r="2419" spans="1:14" x14ac:dyDescent="0.25">
      <c r="A2419" s="3" t="str">
        <f>HYPERLINK("http://www.ncbi.nlm.nih.gov/gene/9969","9969")</f>
        <v>9969</v>
      </c>
      <c r="B2419" s="1" t="s">
        <v>5750</v>
      </c>
      <c r="C2419" t="s">
        <v>5751</v>
      </c>
      <c r="D2419">
        <v>170.6</v>
      </c>
      <c r="E2419">
        <v>179.5</v>
      </c>
      <c r="F2419">
        <v>100</v>
      </c>
      <c r="G2419">
        <v>99.9</v>
      </c>
      <c r="H2419">
        <v>133.4</v>
      </c>
      <c r="I2419">
        <v>136.9</v>
      </c>
      <c r="J2419">
        <v>100</v>
      </c>
      <c r="K2419">
        <v>100</v>
      </c>
      <c r="L2419" s="1" t="s">
        <v>5750</v>
      </c>
      <c r="M2419" t="s">
        <v>189</v>
      </c>
      <c r="N2419">
        <v>2</v>
      </c>
    </row>
    <row r="2420" spans="1:14" x14ac:dyDescent="0.25">
      <c r="A2420" s="3" t="str">
        <f>HYPERLINK("http://www.ncbi.nlm.nih.gov/gene/23389","23389")</f>
        <v>23389</v>
      </c>
      <c r="B2420" s="1" t="s">
        <v>5752</v>
      </c>
      <c r="C2420" t="s">
        <v>5753</v>
      </c>
      <c r="D2420">
        <v>138.19999999999999</v>
      </c>
      <c r="E2420">
        <v>136.5</v>
      </c>
      <c r="F2420">
        <v>100</v>
      </c>
      <c r="G2420">
        <v>99.8</v>
      </c>
      <c r="H2420">
        <v>151.6</v>
      </c>
      <c r="I2420">
        <v>154.6</v>
      </c>
      <c r="J2420">
        <v>100</v>
      </c>
      <c r="K2420">
        <v>100</v>
      </c>
      <c r="L2420" s="1" t="s">
        <v>5752</v>
      </c>
      <c r="M2420" t="s">
        <v>5754</v>
      </c>
      <c r="N2420">
        <v>4</v>
      </c>
    </row>
    <row r="2421" spans="1:14" x14ac:dyDescent="0.25">
      <c r="A2421" s="3" t="str">
        <f>HYPERLINK("http://www.ncbi.nlm.nih.gov/gene/9440","9440")</f>
        <v>9440</v>
      </c>
      <c r="B2421" s="1" t="s">
        <v>5755</v>
      </c>
      <c r="C2421" t="s">
        <v>5756</v>
      </c>
      <c r="D2421">
        <v>145.9</v>
      </c>
      <c r="E2421">
        <v>147.69999999999999</v>
      </c>
      <c r="F2421">
        <v>96.3</v>
      </c>
      <c r="G2421">
        <v>93.5</v>
      </c>
      <c r="H2421">
        <v>133</v>
      </c>
      <c r="I2421">
        <v>137.4</v>
      </c>
      <c r="J2421">
        <v>100</v>
      </c>
      <c r="K2421">
        <v>100</v>
      </c>
      <c r="L2421" s="1" t="s">
        <v>5755</v>
      </c>
      <c r="M2421" t="s">
        <v>228</v>
      </c>
      <c r="N2421">
        <v>3</v>
      </c>
    </row>
    <row r="2422" spans="1:14" x14ac:dyDescent="0.25">
      <c r="A2422" s="3" t="str">
        <f>HYPERLINK("http://www.ncbi.nlm.nih.gov/gene/9439","9439")</f>
        <v>9439</v>
      </c>
      <c r="B2422" s="1" t="s">
        <v>5757</v>
      </c>
      <c r="C2422" t="s">
        <v>5758</v>
      </c>
      <c r="D2422">
        <v>155.6</v>
      </c>
      <c r="E2422">
        <v>162</v>
      </c>
      <c r="F2422">
        <v>100</v>
      </c>
      <c r="G2422">
        <v>99.7</v>
      </c>
      <c r="H2422">
        <v>139.80000000000001</v>
      </c>
      <c r="I2422">
        <v>144.4</v>
      </c>
      <c r="J2422">
        <v>100</v>
      </c>
      <c r="K2422">
        <v>100</v>
      </c>
      <c r="L2422" s="1" t="s">
        <v>5757</v>
      </c>
      <c r="M2422" t="s">
        <v>228</v>
      </c>
      <c r="N2422">
        <v>3</v>
      </c>
    </row>
    <row r="2423" spans="1:14" x14ac:dyDescent="0.25">
      <c r="A2423" s="3" t="str">
        <f>HYPERLINK("http://www.ncbi.nlm.nih.gov/gene/81857","81857")</f>
        <v>81857</v>
      </c>
      <c r="B2423" s="1" t="s">
        <v>5759</v>
      </c>
      <c r="C2423" t="s">
        <v>5760</v>
      </c>
      <c r="D2423">
        <v>150.80000000000001</v>
      </c>
      <c r="E2423">
        <v>151.9</v>
      </c>
      <c r="F2423">
        <v>100</v>
      </c>
      <c r="G2423">
        <v>99.8</v>
      </c>
      <c r="H2423">
        <v>147.4</v>
      </c>
      <c r="I2423">
        <v>151.1</v>
      </c>
      <c r="J2423">
        <v>100</v>
      </c>
      <c r="K2423">
        <v>100</v>
      </c>
      <c r="L2423" s="1" t="s">
        <v>5759</v>
      </c>
      <c r="M2423" t="s">
        <v>5761</v>
      </c>
      <c r="N2423">
        <v>5</v>
      </c>
    </row>
    <row r="2424" spans="1:14" x14ac:dyDescent="0.25">
      <c r="A2424" s="3" t="str">
        <f>HYPERLINK("http://www.ncbi.nlm.nih.gov/gene/4208","4208")</f>
        <v>4208</v>
      </c>
      <c r="B2424" s="1" t="s">
        <v>5762</v>
      </c>
      <c r="C2424" t="s">
        <v>5763</v>
      </c>
      <c r="D2424">
        <v>155.9</v>
      </c>
      <c r="E2424">
        <v>163.5</v>
      </c>
      <c r="F2424">
        <v>99.9</v>
      </c>
      <c r="G2424">
        <v>96</v>
      </c>
      <c r="H2424">
        <v>141.1</v>
      </c>
      <c r="I2424">
        <v>145.69999999999999</v>
      </c>
      <c r="J2424">
        <v>100</v>
      </c>
      <c r="K2424">
        <v>100</v>
      </c>
      <c r="L2424" s="1" t="s">
        <v>5762</v>
      </c>
      <c r="M2424" t="s">
        <v>995</v>
      </c>
      <c r="N2424">
        <v>3</v>
      </c>
    </row>
    <row r="2425" spans="1:14" x14ac:dyDescent="0.25">
      <c r="A2425" s="3" t="str">
        <f>HYPERLINK("http://www.ncbi.nlm.nih.gov/gene/4210","4210")</f>
        <v>4210</v>
      </c>
      <c r="B2425" s="1" t="s">
        <v>5764</v>
      </c>
      <c r="C2425" t="s">
        <v>5765</v>
      </c>
      <c r="D2425">
        <v>139.9</v>
      </c>
      <c r="E2425">
        <v>141.6</v>
      </c>
      <c r="F2425">
        <v>99.9</v>
      </c>
      <c r="G2425">
        <v>98.6</v>
      </c>
      <c r="H2425">
        <v>148.1</v>
      </c>
      <c r="I2425">
        <v>150.19999999999999</v>
      </c>
      <c r="J2425">
        <v>96.4</v>
      </c>
      <c r="K2425">
        <v>96.4</v>
      </c>
      <c r="L2425" s="1" t="s">
        <v>5764</v>
      </c>
      <c r="M2425" t="s">
        <v>5766</v>
      </c>
      <c r="N2425">
        <v>4</v>
      </c>
    </row>
    <row r="2426" spans="1:14" x14ac:dyDescent="0.25">
      <c r="A2426" s="3" t="str">
        <f>HYPERLINK("http://www.ncbi.nlm.nih.gov/gene/84466","84466")</f>
        <v>84466</v>
      </c>
      <c r="B2426" s="1" t="s">
        <v>5767</v>
      </c>
      <c r="C2426" t="s">
        <v>5768</v>
      </c>
      <c r="D2426">
        <v>144.4</v>
      </c>
      <c r="E2426">
        <v>147.80000000000001</v>
      </c>
      <c r="F2426">
        <v>100</v>
      </c>
      <c r="G2426">
        <v>100</v>
      </c>
      <c r="H2426">
        <v>130.19999999999999</v>
      </c>
      <c r="I2426">
        <v>133.69999999999999</v>
      </c>
      <c r="J2426">
        <v>100</v>
      </c>
      <c r="K2426">
        <v>100</v>
      </c>
      <c r="L2426" s="1" t="s">
        <v>5767</v>
      </c>
      <c r="M2426" t="s">
        <v>1147</v>
      </c>
      <c r="N2426">
        <v>4</v>
      </c>
    </row>
    <row r="2427" spans="1:14" x14ac:dyDescent="0.25">
      <c r="A2427" s="3" t="str">
        <f>HYPERLINK("http://www.ncbi.nlm.nih.gov/gene/1954","1954")</f>
        <v>1954</v>
      </c>
      <c r="B2427" s="1" t="s">
        <v>5769</v>
      </c>
      <c r="C2427" t="s">
        <v>5770</v>
      </c>
      <c r="D2427">
        <v>136.6</v>
      </c>
      <c r="E2427">
        <v>138.30000000000001</v>
      </c>
      <c r="F2427">
        <v>99.9</v>
      </c>
      <c r="G2427">
        <v>99</v>
      </c>
      <c r="H2427">
        <v>153.6</v>
      </c>
      <c r="I2427">
        <v>157.4</v>
      </c>
      <c r="J2427">
        <v>100</v>
      </c>
      <c r="K2427">
        <v>100</v>
      </c>
      <c r="L2427" s="1" t="s">
        <v>5769</v>
      </c>
      <c r="M2427" t="s">
        <v>5771</v>
      </c>
      <c r="N2427">
        <v>5</v>
      </c>
    </row>
    <row r="2428" spans="1:14" x14ac:dyDescent="0.25">
      <c r="A2428" s="3" t="str">
        <f>HYPERLINK("http://www.ncbi.nlm.nih.gov/gene/150365","150365")</f>
        <v>150365</v>
      </c>
      <c r="B2428" s="1" t="s">
        <v>5772</v>
      </c>
      <c r="C2428" t="s">
        <v>5773</v>
      </c>
      <c r="D2428">
        <v>111.8</v>
      </c>
      <c r="E2428">
        <v>114.9</v>
      </c>
      <c r="F2428">
        <v>100</v>
      </c>
      <c r="G2428">
        <v>99.3</v>
      </c>
      <c r="H2428">
        <v>132.1</v>
      </c>
      <c r="I2428">
        <v>135.9</v>
      </c>
      <c r="J2428">
        <v>100</v>
      </c>
      <c r="K2428">
        <v>100</v>
      </c>
      <c r="L2428" s="1" t="s">
        <v>5772</v>
      </c>
      <c r="M2428" t="s">
        <v>59</v>
      </c>
      <c r="N2428">
        <v>1</v>
      </c>
    </row>
    <row r="2429" spans="1:14" x14ac:dyDescent="0.25">
      <c r="A2429" s="3" t="str">
        <f>HYPERLINK("http://www.ncbi.nlm.nih.gov/gene/254528","254528")</f>
        <v>254528</v>
      </c>
      <c r="B2429" s="1" t="s">
        <v>5774</v>
      </c>
      <c r="C2429" t="s">
        <v>5775</v>
      </c>
      <c r="D2429">
        <v>110.4</v>
      </c>
      <c r="E2429">
        <v>115.4</v>
      </c>
      <c r="F2429">
        <v>100</v>
      </c>
      <c r="G2429">
        <v>98.6</v>
      </c>
      <c r="H2429">
        <v>105.4</v>
      </c>
      <c r="I2429">
        <v>108.7</v>
      </c>
      <c r="J2429">
        <v>100</v>
      </c>
      <c r="K2429">
        <v>100</v>
      </c>
      <c r="L2429" s="1" t="s">
        <v>5774</v>
      </c>
      <c r="M2429" t="s">
        <v>59</v>
      </c>
      <c r="N2429">
        <v>1</v>
      </c>
    </row>
    <row r="2430" spans="1:14" x14ac:dyDescent="0.25">
      <c r="A2430" s="3" t="str">
        <f>HYPERLINK("http://www.ncbi.nlm.nih.gov/gene/4212","4212")</f>
        <v>4212</v>
      </c>
      <c r="B2430" s="1" t="s">
        <v>5776</v>
      </c>
      <c r="C2430" t="s">
        <v>5777</v>
      </c>
      <c r="D2430">
        <v>147.9</v>
      </c>
      <c r="E2430">
        <v>149.4</v>
      </c>
      <c r="F2430">
        <v>100</v>
      </c>
      <c r="G2430">
        <v>100</v>
      </c>
      <c r="H2430">
        <v>160</v>
      </c>
      <c r="I2430">
        <v>164.2</v>
      </c>
      <c r="J2430">
        <v>100</v>
      </c>
      <c r="K2430">
        <v>100</v>
      </c>
      <c r="L2430" s="1" t="s">
        <v>5776</v>
      </c>
      <c r="M2430" t="s">
        <v>5778</v>
      </c>
      <c r="N2430">
        <v>4</v>
      </c>
    </row>
    <row r="2431" spans="1:14" x14ac:dyDescent="0.25">
      <c r="A2431" s="3" t="str">
        <f>HYPERLINK("http://www.ncbi.nlm.nih.gov/gene/4221","4221")</f>
        <v>4221</v>
      </c>
      <c r="B2431" s="1" t="s">
        <v>5779</v>
      </c>
      <c r="C2431" t="s">
        <v>5780</v>
      </c>
      <c r="D2431">
        <v>128.1</v>
      </c>
      <c r="E2431">
        <v>132.80000000000001</v>
      </c>
      <c r="F2431">
        <v>96.9</v>
      </c>
      <c r="G2431">
        <v>94.8</v>
      </c>
      <c r="H2431">
        <v>128.1</v>
      </c>
      <c r="I2431">
        <v>130.6</v>
      </c>
      <c r="J2431">
        <v>100</v>
      </c>
      <c r="K2431">
        <v>100</v>
      </c>
      <c r="L2431" s="1" t="s">
        <v>5779</v>
      </c>
      <c r="M2431" t="s">
        <v>19</v>
      </c>
      <c r="N2431">
        <v>2</v>
      </c>
    </row>
    <row r="2432" spans="1:14" x14ac:dyDescent="0.25">
      <c r="A2432" s="3" t="str">
        <f>HYPERLINK("http://www.ncbi.nlm.nih.gov/gene/4222","4222")</f>
        <v>4222</v>
      </c>
      <c r="B2432" s="1" t="s">
        <v>5781</v>
      </c>
      <c r="C2432" t="s">
        <v>5782</v>
      </c>
      <c r="D2432">
        <v>101.6</v>
      </c>
      <c r="E2432">
        <v>113.3</v>
      </c>
      <c r="F2432">
        <v>100</v>
      </c>
      <c r="G2432">
        <v>98.9</v>
      </c>
      <c r="H2432">
        <v>153.9</v>
      </c>
      <c r="I2432">
        <v>162.5</v>
      </c>
      <c r="J2432">
        <v>100</v>
      </c>
      <c r="K2432">
        <v>100</v>
      </c>
      <c r="L2432" s="1" t="s">
        <v>5781</v>
      </c>
      <c r="M2432" t="s">
        <v>4225</v>
      </c>
      <c r="N2432">
        <v>4</v>
      </c>
    </row>
    <row r="2433" spans="1:14" x14ac:dyDescent="0.25">
      <c r="A2433" s="3" t="str">
        <f>HYPERLINK("http://www.ncbi.nlm.nih.gov/gene/10461","10461")</f>
        <v>10461</v>
      </c>
      <c r="B2433" s="1" t="s">
        <v>5783</v>
      </c>
      <c r="C2433" t="s">
        <v>5784</v>
      </c>
      <c r="D2433">
        <v>153.30000000000001</v>
      </c>
      <c r="E2433">
        <v>159.6</v>
      </c>
      <c r="F2433">
        <v>99.5</v>
      </c>
      <c r="G2433">
        <v>98.8</v>
      </c>
      <c r="H2433">
        <v>145.6</v>
      </c>
      <c r="I2433">
        <v>148.80000000000001</v>
      </c>
      <c r="J2433">
        <v>99.1</v>
      </c>
      <c r="K2433">
        <v>99.1</v>
      </c>
      <c r="L2433" s="1" t="s">
        <v>5783</v>
      </c>
      <c r="M2433" t="s">
        <v>56</v>
      </c>
      <c r="N2433">
        <v>3</v>
      </c>
    </row>
    <row r="2434" spans="1:14" x14ac:dyDescent="0.25">
      <c r="A2434" s="3" t="str">
        <f>HYPERLINK("http://www.ncbi.nlm.nih.gov/gene/23184","23184")</f>
        <v>23184</v>
      </c>
      <c r="B2434" s="1" t="s">
        <v>5785</v>
      </c>
      <c r="C2434" t="s">
        <v>5786</v>
      </c>
      <c r="D2434">
        <v>124.4</v>
      </c>
      <c r="E2434">
        <v>129.69999999999999</v>
      </c>
      <c r="F2434">
        <v>100</v>
      </c>
      <c r="G2434">
        <v>99.9</v>
      </c>
      <c r="H2434">
        <v>158.69999999999999</v>
      </c>
      <c r="I2434">
        <v>165.3</v>
      </c>
      <c r="J2434">
        <v>100</v>
      </c>
      <c r="K2434">
        <v>100</v>
      </c>
      <c r="L2434" s="1" t="s">
        <v>5785</v>
      </c>
      <c r="M2434" t="s">
        <v>1168</v>
      </c>
      <c r="N2434">
        <v>3</v>
      </c>
    </row>
    <row r="2435" spans="1:14" x14ac:dyDescent="0.25">
      <c r="A2435" s="3" t="str">
        <f>HYPERLINK("http://www.ncbi.nlm.nih.gov/gene/145873","145873")</f>
        <v>145873</v>
      </c>
      <c r="B2435" s="1" t="s">
        <v>5787</v>
      </c>
      <c r="C2435" t="s">
        <v>5788</v>
      </c>
      <c r="D2435">
        <v>112.2</v>
      </c>
      <c r="E2435">
        <v>89.7</v>
      </c>
      <c r="F2435">
        <v>93.9</v>
      </c>
      <c r="G2435">
        <v>86.9</v>
      </c>
      <c r="H2435">
        <v>173.3</v>
      </c>
      <c r="I2435">
        <v>173.1</v>
      </c>
      <c r="J2435">
        <v>97.5</v>
      </c>
      <c r="K2435">
        <v>97.5</v>
      </c>
      <c r="L2435" s="1" t="s">
        <v>5787</v>
      </c>
      <c r="M2435" t="s">
        <v>1168</v>
      </c>
      <c r="N2435">
        <v>3</v>
      </c>
    </row>
    <row r="2436" spans="1:14" x14ac:dyDescent="0.25">
      <c r="A2436" s="3" t="str">
        <f>HYPERLINK("http://www.ncbi.nlm.nih.gov/gene/4233","4233")</f>
        <v>4233</v>
      </c>
      <c r="B2436" s="1" t="s">
        <v>5789</v>
      </c>
      <c r="C2436" t="s">
        <v>5790</v>
      </c>
      <c r="D2436">
        <v>173.3</v>
      </c>
      <c r="E2436">
        <v>178.5</v>
      </c>
      <c r="F2436">
        <v>100</v>
      </c>
      <c r="G2436">
        <v>99.5</v>
      </c>
      <c r="H2436">
        <v>143.30000000000001</v>
      </c>
      <c r="I2436">
        <v>146.1</v>
      </c>
      <c r="J2436">
        <v>100</v>
      </c>
      <c r="K2436">
        <v>100</v>
      </c>
      <c r="L2436" s="1" t="s">
        <v>5789</v>
      </c>
      <c r="M2436" t="s">
        <v>5791</v>
      </c>
      <c r="N2436">
        <v>5</v>
      </c>
    </row>
    <row r="2437" spans="1:14" x14ac:dyDescent="0.25">
      <c r="A2437" s="3" t="str">
        <f>HYPERLINK("http://www.ncbi.nlm.nih.gov/gene/124512","124512")</f>
        <v>124512</v>
      </c>
      <c r="B2437" s="1" t="s">
        <v>5792</v>
      </c>
      <c r="C2437" t="s">
        <v>5793</v>
      </c>
      <c r="D2437">
        <v>136.80000000000001</v>
      </c>
      <c r="E2437">
        <v>138.69999999999999</v>
      </c>
      <c r="F2437">
        <v>100</v>
      </c>
      <c r="G2437">
        <v>100</v>
      </c>
      <c r="H2437">
        <v>150.69999999999999</v>
      </c>
      <c r="I2437">
        <v>154.1</v>
      </c>
      <c r="J2437">
        <v>100</v>
      </c>
      <c r="K2437">
        <v>100</v>
      </c>
      <c r="L2437" s="1" t="s">
        <v>5792</v>
      </c>
      <c r="M2437" t="s">
        <v>228</v>
      </c>
      <c r="N2437">
        <v>3</v>
      </c>
    </row>
    <row r="2438" spans="1:14" x14ac:dyDescent="0.25">
      <c r="A2438" s="3" t="str">
        <f>HYPERLINK("http://www.ncbi.nlm.nih.gov/gene/29081","29081")</f>
        <v>29081</v>
      </c>
      <c r="B2438" s="1" t="s">
        <v>5794</v>
      </c>
      <c r="C2438" t="s">
        <v>5795</v>
      </c>
      <c r="D2438">
        <v>141.19999999999999</v>
      </c>
      <c r="E2438">
        <v>145</v>
      </c>
      <c r="F2438">
        <v>99.3</v>
      </c>
      <c r="G2438">
        <v>98.5</v>
      </c>
      <c r="H2438">
        <v>106.9</v>
      </c>
      <c r="I2438">
        <v>109.3</v>
      </c>
      <c r="J2438">
        <v>99.9</v>
      </c>
      <c r="K2438">
        <v>98.3</v>
      </c>
      <c r="L2438" s="1" t="s">
        <v>5794</v>
      </c>
      <c r="M2438" t="s">
        <v>50</v>
      </c>
      <c r="N2438">
        <v>2</v>
      </c>
    </row>
    <row r="2439" spans="1:14" x14ac:dyDescent="0.25">
      <c r="A2439" s="3" t="str">
        <f>HYPERLINK("http://www.ncbi.nlm.nih.gov/gene/8076","8076")</f>
        <v>8076</v>
      </c>
      <c r="B2439" s="1" t="s">
        <v>5796</v>
      </c>
      <c r="C2439" t="s">
        <v>5797</v>
      </c>
      <c r="D2439">
        <v>132.1</v>
      </c>
      <c r="E2439">
        <v>133.5</v>
      </c>
      <c r="F2439">
        <v>99.9</v>
      </c>
      <c r="G2439">
        <v>97.6</v>
      </c>
      <c r="H2439">
        <v>127.9</v>
      </c>
      <c r="I2439">
        <v>129.4</v>
      </c>
      <c r="J2439">
        <v>100</v>
      </c>
      <c r="K2439">
        <v>100</v>
      </c>
      <c r="L2439" s="1" t="s">
        <v>5796</v>
      </c>
      <c r="M2439" t="s">
        <v>741</v>
      </c>
      <c r="N2439">
        <v>3</v>
      </c>
    </row>
    <row r="2440" spans="1:14" x14ac:dyDescent="0.25">
      <c r="A2440" s="3" t="str">
        <f>HYPERLINK("http://www.ncbi.nlm.nih.gov/gene/56947","56947")</f>
        <v>56947</v>
      </c>
      <c r="B2440" s="1" t="s">
        <v>5798</v>
      </c>
      <c r="C2440" t="s">
        <v>5799</v>
      </c>
      <c r="D2440">
        <v>97.1</v>
      </c>
      <c r="E2440">
        <v>101.3</v>
      </c>
      <c r="F2440">
        <v>94.3</v>
      </c>
      <c r="G2440">
        <v>89.9</v>
      </c>
      <c r="H2440">
        <v>125.9</v>
      </c>
      <c r="I2440">
        <v>129.19999999999999</v>
      </c>
      <c r="J2440">
        <v>100</v>
      </c>
      <c r="K2440">
        <v>100</v>
      </c>
      <c r="L2440" s="1" t="s">
        <v>5798</v>
      </c>
      <c r="M2440" t="s">
        <v>3419</v>
      </c>
      <c r="N2440">
        <v>6</v>
      </c>
    </row>
    <row r="2441" spans="1:14" x14ac:dyDescent="0.25">
      <c r="A2441" s="3" t="str">
        <f>HYPERLINK("http://www.ncbi.nlm.nih.gov/gene/9927","9927")</f>
        <v>9927</v>
      </c>
      <c r="B2441" s="1" t="s">
        <v>5800</v>
      </c>
      <c r="C2441" t="s">
        <v>5801</v>
      </c>
      <c r="D2441">
        <v>132</v>
      </c>
      <c r="E2441">
        <v>138.19999999999999</v>
      </c>
      <c r="F2441">
        <v>100</v>
      </c>
      <c r="G2441">
        <v>99.9</v>
      </c>
      <c r="H2441">
        <v>123</v>
      </c>
      <c r="I2441">
        <v>126.5</v>
      </c>
      <c r="J2441">
        <v>100</v>
      </c>
      <c r="K2441">
        <v>100</v>
      </c>
      <c r="L2441" s="1" t="s">
        <v>5800</v>
      </c>
      <c r="M2441" t="s">
        <v>5802</v>
      </c>
      <c r="N2441">
        <v>5</v>
      </c>
    </row>
    <row r="2442" spans="1:14" x14ac:dyDescent="0.25">
      <c r="A2442" s="3" t="str">
        <f>HYPERLINK("http://www.ncbi.nlm.nih.gov/gene/83552","83552")</f>
        <v>83552</v>
      </c>
      <c r="B2442" s="1" t="s">
        <v>5803</v>
      </c>
      <c r="C2442" t="s">
        <v>5804</v>
      </c>
      <c r="D2442">
        <v>135.80000000000001</v>
      </c>
      <c r="E2442">
        <v>139.4</v>
      </c>
      <c r="F2442">
        <v>100</v>
      </c>
      <c r="G2442">
        <v>100</v>
      </c>
      <c r="H2442">
        <v>128.4</v>
      </c>
      <c r="I2442">
        <v>131.80000000000001</v>
      </c>
      <c r="J2442">
        <v>100</v>
      </c>
      <c r="K2442">
        <v>100</v>
      </c>
      <c r="L2442" s="1" t="s">
        <v>5803</v>
      </c>
      <c r="M2442" t="s">
        <v>56</v>
      </c>
      <c r="N2442">
        <v>3</v>
      </c>
    </row>
    <row r="2443" spans="1:14" x14ac:dyDescent="0.25">
      <c r="A2443" s="3" t="str">
        <f>HYPERLINK("http://www.ncbi.nlm.nih.gov/gene/84879","84879")</f>
        <v>84879</v>
      </c>
      <c r="B2443" s="1" t="s">
        <v>5805</v>
      </c>
      <c r="C2443" t="s">
        <v>5806</v>
      </c>
      <c r="D2443">
        <v>136.30000000000001</v>
      </c>
      <c r="E2443">
        <v>140.6</v>
      </c>
      <c r="F2443">
        <v>99.7</v>
      </c>
      <c r="G2443">
        <v>98.5</v>
      </c>
      <c r="H2443">
        <v>142.1</v>
      </c>
      <c r="I2443">
        <v>145.6</v>
      </c>
      <c r="J2443">
        <v>100</v>
      </c>
      <c r="K2443">
        <v>100</v>
      </c>
      <c r="L2443" s="1" t="s">
        <v>5805</v>
      </c>
      <c r="M2443" t="s">
        <v>38</v>
      </c>
      <c r="N2443">
        <v>4</v>
      </c>
    </row>
    <row r="2444" spans="1:14" x14ac:dyDescent="0.25">
      <c r="A2444" s="3" t="str">
        <f>HYPERLINK("http://www.ncbi.nlm.nih.gov/gene/256471","256471")</f>
        <v>256471</v>
      </c>
      <c r="B2444" s="1" t="s">
        <v>5807</v>
      </c>
      <c r="C2444" t="s">
        <v>5808</v>
      </c>
      <c r="D2444">
        <v>136.5</v>
      </c>
      <c r="E2444">
        <v>143.30000000000001</v>
      </c>
      <c r="F2444">
        <v>100</v>
      </c>
      <c r="G2444">
        <v>99.7</v>
      </c>
      <c r="H2444">
        <v>144.69999999999999</v>
      </c>
      <c r="I2444">
        <v>148.1</v>
      </c>
      <c r="J2444">
        <v>100</v>
      </c>
      <c r="K2444">
        <v>100</v>
      </c>
      <c r="L2444" s="1" t="s">
        <v>5807</v>
      </c>
      <c r="M2444" t="s">
        <v>1981</v>
      </c>
      <c r="N2444">
        <v>6</v>
      </c>
    </row>
    <row r="2445" spans="1:14" x14ac:dyDescent="0.25">
      <c r="A2445" s="3" t="str">
        <f>HYPERLINK("http://www.ncbi.nlm.nih.gov/gene/4247","4247")</f>
        <v>4247</v>
      </c>
      <c r="B2445" s="1" t="s">
        <v>5809</v>
      </c>
      <c r="C2445" t="s">
        <v>5810</v>
      </c>
      <c r="D2445">
        <v>165.5</v>
      </c>
      <c r="E2445">
        <v>156.4</v>
      </c>
      <c r="F2445">
        <v>100</v>
      </c>
      <c r="G2445">
        <v>100</v>
      </c>
      <c r="H2445">
        <v>142.1</v>
      </c>
      <c r="I2445">
        <v>144.80000000000001</v>
      </c>
      <c r="J2445">
        <v>100</v>
      </c>
      <c r="K2445">
        <v>100</v>
      </c>
      <c r="L2445" s="1" t="s">
        <v>5809</v>
      </c>
      <c r="M2445" t="s">
        <v>38</v>
      </c>
      <c r="N2445">
        <v>4</v>
      </c>
    </row>
    <row r="2446" spans="1:14" x14ac:dyDescent="0.25">
      <c r="A2446" s="3" t="str">
        <f>HYPERLINK("http://www.ncbi.nlm.nih.gov/gene/92667","92667")</f>
        <v>92667</v>
      </c>
      <c r="B2446" s="1" t="s">
        <v>5811</v>
      </c>
      <c r="C2446" t="s">
        <v>5812</v>
      </c>
      <c r="D2446">
        <v>180.4</v>
      </c>
      <c r="E2446">
        <v>183</v>
      </c>
      <c r="F2446">
        <v>100</v>
      </c>
      <c r="G2446">
        <v>100</v>
      </c>
      <c r="H2446">
        <v>147.69999999999999</v>
      </c>
      <c r="I2446">
        <v>149.5</v>
      </c>
      <c r="J2446">
        <v>100</v>
      </c>
      <c r="K2446">
        <v>100</v>
      </c>
      <c r="L2446" s="1" t="s">
        <v>5811</v>
      </c>
      <c r="M2446" t="s">
        <v>766</v>
      </c>
      <c r="N2446">
        <v>3</v>
      </c>
    </row>
    <row r="2447" spans="1:14" x14ac:dyDescent="0.25">
      <c r="A2447" s="3" t="str">
        <f>HYPERLINK("http://www.ncbi.nlm.nih.gov/gene/4256","4256")</f>
        <v>4256</v>
      </c>
      <c r="B2447" s="1" t="s">
        <v>5813</v>
      </c>
      <c r="C2447" t="s">
        <v>5814</v>
      </c>
      <c r="D2447">
        <v>158.69999999999999</v>
      </c>
      <c r="E2447">
        <v>159.6</v>
      </c>
      <c r="F2447">
        <v>98.7</v>
      </c>
      <c r="G2447">
        <v>95.1</v>
      </c>
      <c r="H2447">
        <v>132.4</v>
      </c>
      <c r="I2447">
        <v>136.1</v>
      </c>
      <c r="J2447">
        <v>100</v>
      </c>
      <c r="K2447">
        <v>100</v>
      </c>
      <c r="L2447" s="1" t="s">
        <v>5813</v>
      </c>
      <c r="M2447" t="s">
        <v>5815</v>
      </c>
      <c r="N2447">
        <v>6</v>
      </c>
    </row>
    <row r="2448" spans="1:14" x14ac:dyDescent="0.25">
      <c r="A2448" s="3" t="str">
        <f>HYPERLINK("http://www.ncbi.nlm.nih.gov/gene/375056","375056")</f>
        <v>375056</v>
      </c>
      <c r="B2448" s="1" t="s">
        <v>5816</v>
      </c>
      <c r="C2448" t="s">
        <v>5817</v>
      </c>
      <c r="D2448">
        <v>155.9</v>
      </c>
      <c r="E2448">
        <v>154.69999999999999</v>
      </c>
      <c r="F2448">
        <v>99.8</v>
      </c>
      <c r="G2448">
        <v>99.1</v>
      </c>
      <c r="H2448">
        <v>124.6</v>
      </c>
      <c r="I2448">
        <v>124.8</v>
      </c>
      <c r="J2448">
        <v>100</v>
      </c>
      <c r="K2448">
        <v>100</v>
      </c>
      <c r="L2448" s="1" t="s">
        <v>5816</v>
      </c>
      <c r="M2448" t="s">
        <v>1120</v>
      </c>
      <c r="N2448">
        <v>2</v>
      </c>
    </row>
    <row r="2449" spans="1:14" x14ac:dyDescent="0.25">
      <c r="A2449" s="3" t="str">
        <f>HYPERLINK("http://www.ncbi.nlm.nih.gov/gene/57534","57534")</f>
        <v>57534</v>
      </c>
      <c r="B2449" s="1" t="s">
        <v>5818</v>
      </c>
      <c r="C2449" t="s">
        <v>5819</v>
      </c>
      <c r="D2449">
        <v>138.6</v>
      </c>
      <c r="E2449">
        <v>143.30000000000001</v>
      </c>
      <c r="F2449">
        <v>100</v>
      </c>
      <c r="G2449">
        <v>99.9</v>
      </c>
      <c r="H2449">
        <v>133.69999999999999</v>
      </c>
      <c r="I2449">
        <v>137.6</v>
      </c>
      <c r="J2449">
        <v>100</v>
      </c>
      <c r="K2449">
        <v>100</v>
      </c>
      <c r="L2449" s="1" t="s">
        <v>5818</v>
      </c>
      <c r="M2449" t="s">
        <v>741</v>
      </c>
      <c r="N2449">
        <v>3</v>
      </c>
    </row>
    <row r="2450" spans="1:14" x14ac:dyDescent="0.25">
      <c r="A2450" s="3" t="str">
        <f>HYPERLINK("http://www.ncbi.nlm.nih.gov/gene/125988","125988")</f>
        <v>125988</v>
      </c>
      <c r="B2450" s="1" t="s">
        <v>5820</v>
      </c>
      <c r="C2450" t="s">
        <v>5821</v>
      </c>
      <c r="D2450">
        <v>81.599999999999994</v>
      </c>
      <c r="E2450">
        <v>81</v>
      </c>
      <c r="F2450">
        <v>100</v>
      </c>
      <c r="G2450">
        <v>99.7</v>
      </c>
      <c r="H2450">
        <v>137.1</v>
      </c>
      <c r="I2450">
        <v>140.19999999999999</v>
      </c>
      <c r="J2450">
        <v>100</v>
      </c>
      <c r="K2450">
        <v>99.7</v>
      </c>
      <c r="L2450" s="1" t="s">
        <v>5820</v>
      </c>
      <c r="M2450" t="s">
        <v>766</v>
      </c>
      <c r="N2450">
        <v>3</v>
      </c>
    </row>
    <row r="2451" spans="1:14" x14ac:dyDescent="0.25">
      <c r="A2451" s="3" t="str">
        <f>HYPERLINK("http://www.ncbi.nlm.nih.gov/gene/10367","10367")</f>
        <v>10367</v>
      </c>
      <c r="B2451" s="1" t="s">
        <v>5822</v>
      </c>
      <c r="C2451" t="s">
        <v>5823</v>
      </c>
      <c r="D2451">
        <v>123</v>
      </c>
      <c r="E2451">
        <v>126.1</v>
      </c>
      <c r="F2451">
        <v>98.9</v>
      </c>
      <c r="G2451">
        <v>95.2</v>
      </c>
      <c r="H2451">
        <v>140</v>
      </c>
      <c r="I2451">
        <v>144.1</v>
      </c>
      <c r="J2451">
        <v>100</v>
      </c>
      <c r="K2451">
        <v>100</v>
      </c>
      <c r="L2451" s="1" t="s">
        <v>5822</v>
      </c>
      <c r="M2451" t="s">
        <v>5824</v>
      </c>
      <c r="N2451">
        <v>6</v>
      </c>
    </row>
    <row r="2452" spans="1:14" x14ac:dyDescent="0.25">
      <c r="A2452" s="3" t="str">
        <f>HYPERLINK("http://www.ncbi.nlm.nih.gov/gene/221154","221154")</f>
        <v>221154</v>
      </c>
      <c r="B2452" s="1" t="s">
        <v>5825</v>
      </c>
      <c r="C2452" t="s">
        <v>5826</v>
      </c>
      <c r="D2452">
        <v>65.099999999999994</v>
      </c>
      <c r="E2452">
        <v>66.400000000000006</v>
      </c>
      <c r="F2452">
        <v>97.2</v>
      </c>
      <c r="G2452">
        <v>91.8</v>
      </c>
      <c r="H2452">
        <v>131.69999999999999</v>
      </c>
      <c r="I2452">
        <v>134.9</v>
      </c>
      <c r="J2452">
        <v>100</v>
      </c>
      <c r="K2452">
        <v>100</v>
      </c>
      <c r="L2452" s="1" t="s">
        <v>5825</v>
      </c>
      <c r="M2452" t="s">
        <v>265</v>
      </c>
      <c r="N2452">
        <v>2</v>
      </c>
    </row>
    <row r="2453" spans="1:14" x14ac:dyDescent="0.25">
      <c r="A2453" s="3" t="str">
        <f>HYPERLINK("http://www.ncbi.nlm.nih.gov/gene/4281","4281")</f>
        <v>4281</v>
      </c>
      <c r="B2453" s="1" t="s">
        <v>5827</v>
      </c>
      <c r="C2453" t="s">
        <v>5828</v>
      </c>
      <c r="D2453">
        <v>164.2</v>
      </c>
      <c r="E2453">
        <v>159.19999999999999</v>
      </c>
      <c r="F2453">
        <v>99.8</v>
      </c>
      <c r="G2453">
        <v>98.7</v>
      </c>
      <c r="H2453">
        <v>144.30000000000001</v>
      </c>
      <c r="I2453">
        <v>147.19999999999999</v>
      </c>
      <c r="J2453">
        <v>100</v>
      </c>
      <c r="K2453">
        <v>100</v>
      </c>
      <c r="L2453" s="1" t="s">
        <v>5827</v>
      </c>
      <c r="M2453" t="s">
        <v>5829</v>
      </c>
      <c r="N2453">
        <v>4</v>
      </c>
    </row>
    <row r="2454" spans="1:14" x14ac:dyDescent="0.25">
      <c r="A2454" s="3" t="str">
        <f>HYPERLINK("http://www.ncbi.nlm.nih.gov/gene/11043","11043")</f>
        <v>11043</v>
      </c>
      <c r="B2454" s="1" t="s">
        <v>5830</v>
      </c>
      <c r="C2454" t="s">
        <v>5831</v>
      </c>
      <c r="D2454">
        <v>118.3</v>
      </c>
      <c r="E2454">
        <v>121.2</v>
      </c>
      <c r="F2454">
        <v>99.8</v>
      </c>
      <c r="G2454">
        <v>98.7</v>
      </c>
      <c r="H2454">
        <v>141.4</v>
      </c>
      <c r="I2454">
        <v>144.69999999999999</v>
      </c>
      <c r="J2454">
        <v>100</v>
      </c>
      <c r="K2454">
        <v>100</v>
      </c>
      <c r="L2454" s="1" t="s">
        <v>5830</v>
      </c>
      <c r="M2454" t="s">
        <v>322</v>
      </c>
      <c r="N2454">
        <v>2</v>
      </c>
    </row>
    <row r="2455" spans="1:14" x14ac:dyDescent="0.25">
      <c r="A2455" s="3" t="str">
        <f>HYPERLINK("http://www.ncbi.nlm.nih.gov/gene/125170","125170")</f>
        <v>125170</v>
      </c>
      <c r="B2455" s="1" t="s">
        <v>5832</v>
      </c>
      <c r="C2455" t="s">
        <v>5833</v>
      </c>
      <c r="D2455">
        <v>134</v>
      </c>
      <c r="E2455">
        <v>123.1</v>
      </c>
      <c r="F2455">
        <v>100</v>
      </c>
      <c r="G2455">
        <v>99</v>
      </c>
      <c r="H2455">
        <v>169.4</v>
      </c>
      <c r="I2455">
        <v>169.9</v>
      </c>
      <c r="J2455">
        <v>100</v>
      </c>
      <c r="K2455">
        <v>100</v>
      </c>
      <c r="L2455" s="1" t="s">
        <v>5832</v>
      </c>
      <c r="M2455" t="s">
        <v>265</v>
      </c>
      <c r="N2455">
        <v>2</v>
      </c>
    </row>
    <row r="2456" spans="1:14" x14ac:dyDescent="0.25">
      <c r="A2456" s="3" t="str">
        <f>HYPERLINK("http://www.ncbi.nlm.nih.gov/gene/9562","9562")</f>
        <v>9562</v>
      </c>
      <c r="B2456" s="1" t="s">
        <v>5834</v>
      </c>
      <c r="C2456" t="s">
        <v>5835</v>
      </c>
      <c r="D2456">
        <v>173.8</v>
      </c>
      <c r="E2456">
        <v>174.7</v>
      </c>
      <c r="F2456">
        <v>100</v>
      </c>
      <c r="G2456">
        <v>99.5</v>
      </c>
      <c r="H2456">
        <v>143.80000000000001</v>
      </c>
      <c r="I2456">
        <v>145.4</v>
      </c>
      <c r="J2456">
        <v>100</v>
      </c>
      <c r="K2456">
        <v>100</v>
      </c>
      <c r="L2456" s="1" t="s">
        <v>5834</v>
      </c>
      <c r="M2456" t="s">
        <v>93</v>
      </c>
      <c r="N2456">
        <v>2</v>
      </c>
    </row>
    <row r="2457" spans="1:14" x14ac:dyDescent="0.25">
      <c r="A2457" s="3" t="str">
        <f>HYPERLINK("http://www.ncbi.nlm.nih.gov/gene/4284","4284")</f>
        <v>4284</v>
      </c>
      <c r="B2457" s="1" t="s">
        <v>5836</v>
      </c>
      <c r="C2457" t="s">
        <v>5837</v>
      </c>
      <c r="D2457">
        <v>112.4</v>
      </c>
      <c r="E2457">
        <v>114.2</v>
      </c>
      <c r="F2457">
        <v>100</v>
      </c>
      <c r="G2457">
        <v>98.9</v>
      </c>
      <c r="H2457">
        <v>125.7</v>
      </c>
      <c r="I2457">
        <v>127</v>
      </c>
      <c r="J2457">
        <v>100</v>
      </c>
      <c r="K2457">
        <v>100</v>
      </c>
      <c r="L2457" s="1" t="s">
        <v>5836</v>
      </c>
      <c r="M2457" t="s">
        <v>302</v>
      </c>
      <c r="N2457">
        <v>2</v>
      </c>
    </row>
    <row r="2458" spans="1:14" x14ac:dyDescent="0.25">
      <c r="A2458" s="3" t="str">
        <f>HYPERLINK("http://www.ncbi.nlm.nih.gov/gene/4285","4285")</f>
        <v>4285</v>
      </c>
      <c r="B2458" s="1" t="s">
        <v>5838</v>
      </c>
      <c r="C2458" t="s">
        <v>5839</v>
      </c>
      <c r="D2458">
        <v>114.7</v>
      </c>
      <c r="E2458">
        <v>118.5</v>
      </c>
      <c r="F2458">
        <v>99.2</v>
      </c>
      <c r="G2458">
        <v>96.5</v>
      </c>
      <c r="H2458">
        <v>136.30000000000001</v>
      </c>
      <c r="I2458">
        <v>139.6</v>
      </c>
      <c r="J2458">
        <v>100</v>
      </c>
      <c r="K2458">
        <v>100</v>
      </c>
      <c r="L2458" s="1" t="s">
        <v>5838</v>
      </c>
      <c r="M2458" t="s">
        <v>766</v>
      </c>
      <c r="N2458">
        <v>3</v>
      </c>
    </row>
    <row r="2459" spans="1:14" x14ac:dyDescent="0.25">
      <c r="A2459" s="3" t="str">
        <f>HYPERLINK("http://www.ncbi.nlm.nih.gov/gene/406932","406932")</f>
        <v>406932</v>
      </c>
      <c r="B2459" s="1" t="s">
        <v>5840</v>
      </c>
      <c r="C2459" t="s">
        <v>5841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 s="1" t="s">
        <v>5840</v>
      </c>
      <c r="M2459" t="s">
        <v>1253</v>
      </c>
      <c r="N2459">
        <v>2</v>
      </c>
    </row>
    <row r="2460" spans="1:14" x14ac:dyDescent="0.25">
      <c r="A2460" s="3" t="str">
        <f>HYPERLINK("http://www.ncbi.nlm.nih.gov/gene/407975","407975")</f>
        <v>407975</v>
      </c>
      <c r="B2460" s="1" t="s">
        <v>5842</v>
      </c>
      <c r="C2460" t="s">
        <v>5843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 s="1" t="s">
        <v>5842</v>
      </c>
      <c r="M2460" t="s">
        <v>285</v>
      </c>
      <c r="N2460">
        <v>1</v>
      </c>
    </row>
    <row r="2461" spans="1:14" x14ac:dyDescent="0.25">
      <c r="A2461" s="3" t="str">
        <f>HYPERLINK("http://www.ncbi.nlm.nih.gov/gene/406960","406960")</f>
        <v>406960</v>
      </c>
      <c r="B2461" s="1" t="s">
        <v>5844</v>
      </c>
      <c r="C2461" t="s">
        <v>5845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 s="1" t="s">
        <v>5844</v>
      </c>
      <c r="M2461" t="s">
        <v>302</v>
      </c>
      <c r="N2461">
        <v>2</v>
      </c>
    </row>
    <row r="2462" spans="1:14" x14ac:dyDescent="0.25">
      <c r="A2462" s="3" t="str">
        <f>HYPERLINK("http://www.ncbi.nlm.nih.gov/gene/406987","406987")</f>
        <v>406987</v>
      </c>
      <c r="B2462" s="1" t="s">
        <v>5846</v>
      </c>
      <c r="C2462" t="s">
        <v>5847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 s="1" t="s">
        <v>5846</v>
      </c>
      <c r="M2462" t="s">
        <v>285</v>
      </c>
      <c r="N2462">
        <v>1</v>
      </c>
    </row>
    <row r="2463" spans="1:14" x14ac:dyDescent="0.25">
      <c r="A2463" s="3" t="str">
        <f>HYPERLINK("http://www.ncbi.nlm.nih.gov/gene/407053","407053")</f>
        <v>407053</v>
      </c>
      <c r="B2463" s="1" t="s">
        <v>5848</v>
      </c>
      <c r="C2463" t="s">
        <v>5849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 s="1" t="s">
        <v>5848</v>
      </c>
      <c r="M2463" t="s">
        <v>76</v>
      </c>
      <c r="N2463">
        <v>2</v>
      </c>
    </row>
    <row r="2464" spans="1:14" x14ac:dyDescent="0.25">
      <c r="A2464" s="3" t="str">
        <f>HYPERLINK("http://www.ncbi.nlm.nih.gov/gene/4286","4286")</f>
        <v>4286</v>
      </c>
      <c r="B2464" s="1" t="s">
        <v>5850</v>
      </c>
      <c r="C2464" t="s">
        <v>5851</v>
      </c>
      <c r="D2464">
        <v>158.1</v>
      </c>
      <c r="E2464">
        <v>160.6</v>
      </c>
      <c r="F2464">
        <v>100</v>
      </c>
      <c r="G2464">
        <v>99.9</v>
      </c>
      <c r="H2464">
        <v>137.9</v>
      </c>
      <c r="I2464">
        <v>142</v>
      </c>
      <c r="J2464">
        <v>100</v>
      </c>
      <c r="K2464">
        <v>100</v>
      </c>
      <c r="L2464" s="1" t="s">
        <v>5850</v>
      </c>
      <c r="M2464" t="s">
        <v>5852</v>
      </c>
      <c r="N2464">
        <v>8</v>
      </c>
    </row>
    <row r="2465" spans="1:14" x14ac:dyDescent="0.25">
      <c r="A2465" s="3" t="str">
        <f>HYPERLINK("http://www.ncbi.nlm.nih.gov/gene/8195","8195")</f>
        <v>8195</v>
      </c>
      <c r="B2465" s="1" t="s">
        <v>5853</v>
      </c>
      <c r="C2465" t="s">
        <v>5854</v>
      </c>
      <c r="D2465">
        <v>223.2</v>
      </c>
      <c r="E2465">
        <v>232.6</v>
      </c>
      <c r="F2465">
        <v>100</v>
      </c>
      <c r="G2465">
        <v>100</v>
      </c>
      <c r="H2465">
        <v>154.1</v>
      </c>
      <c r="I2465">
        <v>156.9</v>
      </c>
      <c r="J2465">
        <v>100</v>
      </c>
      <c r="K2465">
        <v>100</v>
      </c>
      <c r="L2465" s="1" t="s">
        <v>5853</v>
      </c>
      <c r="M2465" t="s">
        <v>1727</v>
      </c>
      <c r="N2465">
        <v>7</v>
      </c>
    </row>
    <row r="2466" spans="1:14" x14ac:dyDescent="0.25">
      <c r="A2466" s="3" t="str">
        <f>HYPERLINK("http://www.ncbi.nlm.nih.gov/gene/7681","7681")</f>
        <v>7681</v>
      </c>
      <c r="B2466" s="1" t="s">
        <v>5855</v>
      </c>
      <c r="C2466" t="s">
        <v>5856</v>
      </c>
      <c r="D2466">
        <v>140.6</v>
      </c>
      <c r="E2466">
        <v>143.5</v>
      </c>
      <c r="F2466">
        <v>96</v>
      </c>
      <c r="G2466">
        <v>96</v>
      </c>
      <c r="H2466">
        <v>152.1</v>
      </c>
      <c r="I2466">
        <v>150.4</v>
      </c>
      <c r="J2466">
        <v>96</v>
      </c>
      <c r="K2466">
        <v>96</v>
      </c>
      <c r="L2466" s="1" t="s">
        <v>5855</v>
      </c>
      <c r="M2466" t="s">
        <v>5857</v>
      </c>
      <c r="N2466">
        <v>2</v>
      </c>
    </row>
    <row r="2467" spans="1:14" x14ac:dyDescent="0.25">
      <c r="A2467" s="3" t="str">
        <f>HYPERLINK("http://www.ncbi.nlm.nih.gov/gene/54903","54903")</f>
        <v>54903</v>
      </c>
      <c r="B2467" s="1" t="s">
        <v>5858</v>
      </c>
      <c r="C2467" t="s">
        <v>5859</v>
      </c>
      <c r="D2467">
        <v>103.6</v>
      </c>
      <c r="E2467">
        <v>104.7</v>
      </c>
      <c r="F2467">
        <v>99.8</v>
      </c>
      <c r="G2467">
        <v>97.9</v>
      </c>
      <c r="H2467">
        <v>126.3</v>
      </c>
      <c r="I2467">
        <v>128.30000000000001</v>
      </c>
      <c r="J2467">
        <v>100</v>
      </c>
      <c r="K2467">
        <v>100</v>
      </c>
      <c r="L2467" s="1" t="s">
        <v>5858</v>
      </c>
      <c r="M2467" t="s">
        <v>2261</v>
      </c>
      <c r="N2467">
        <v>8</v>
      </c>
    </row>
    <row r="2468" spans="1:14" x14ac:dyDescent="0.25">
      <c r="A2468" s="3" t="str">
        <f>HYPERLINK("http://www.ncbi.nlm.nih.gov/gene/23209","23209")</f>
        <v>23209</v>
      </c>
      <c r="B2468" s="1" t="s">
        <v>5860</v>
      </c>
      <c r="C2468" t="s">
        <v>5861</v>
      </c>
      <c r="D2468">
        <v>101.3</v>
      </c>
      <c r="E2468">
        <v>103</v>
      </c>
      <c r="F2468">
        <v>100</v>
      </c>
      <c r="G2468">
        <v>99</v>
      </c>
      <c r="H2468">
        <v>131.80000000000001</v>
      </c>
      <c r="I2468">
        <v>135.1</v>
      </c>
      <c r="J2468">
        <v>100</v>
      </c>
      <c r="K2468">
        <v>100</v>
      </c>
      <c r="L2468" s="1" t="s">
        <v>5860</v>
      </c>
      <c r="M2468" t="s">
        <v>548</v>
      </c>
      <c r="N2468">
        <v>5</v>
      </c>
    </row>
    <row r="2469" spans="1:14" x14ac:dyDescent="0.25">
      <c r="A2469" s="3" t="str">
        <f>HYPERLINK("http://www.ncbi.nlm.nih.gov/gene/4292","4292")</f>
        <v>4292</v>
      </c>
      <c r="B2469" s="1" t="s">
        <v>5862</v>
      </c>
      <c r="C2469" t="s">
        <v>5863</v>
      </c>
      <c r="D2469">
        <v>159.30000000000001</v>
      </c>
      <c r="E2469">
        <v>166</v>
      </c>
      <c r="F2469">
        <v>100</v>
      </c>
      <c r="G2469">
        <v>99.9</v>
      </c>
      <c r="H2469">
        <v>128.69999999999999</v>
      </c>
      <c r="I2469">
        <v>132.6</v>
      </c>
      <c r="J2469">
        <v>100</v>
      </c>
      <c r="K2469">
        <v>100</v>
      </c>
      <c r="L2469" s="1" t="s">
        <v>5862</v>
      </c>
      <c r="M2469" t="s">
        <v>5864</v>
      </c>
      <c r="N2469">
        <v>5</v>
      </c>
    </row>
    <row r="2470" spans="1:14" x14ac:dyDescent="0.25">
      <c r="A2470" s="3" t="str">
        <f>HYPERLINK("http://www.ncbi.nlm.nih.gov/gene/27030","27030")</f>
        <v>27030</v>
      </c>
      <c r="B2470" s="1" t="s">
        <v>5865</v>
      </c>
      <c r="C2470" t="s">
        <v>5866</v>
      </c>
      <c r="D2470">
        <v>177.3</v>
      </c>
      <c r="E2470">
        <v>168.4</v>
      </c>
      <c r="F2470">
        <v>100</v>
      </c>
      <c r="G2470">
        <v>100</v>
      </c>
      <c r="H2470">
        <v>148.6</v>
      </c>
      <c r="I2470">
        <v>149.30000000000001</v>
      </c>
      <c r="J2470">
        <v>100</v>
      </c>
      <c r="K2470">
        <v>100</v>
      </c>
      <c r="L2470" s="1" t="s">
        <v>5865</v>
      </c>
      <c r="M2470" t="s">
        <v>22</v>
      </c>
      <c r="N2470">
        <v>1</v>
      </c>
    </row>
    <row r="2471" spans="1:14" x14ac:dyDescent="0.25">
      <c r="A2471" s="3" t="str">
        <f>HYPERLINK("http://www.ncbi.nlm.nih.gov/gene/90523","90523")</f>
        <v>90523</v>
      </c>
      <c r="B2471" s="1" t="s">
        <v>5867</v>
      </c>
      <c r="C2471" t="s">
        <v>5868</v>
      </c>
      <c r="D2471">
        <v>176.2</v>
      </c>
      <c r="E2471">
        <v>176.2</v>
      </c>
      <c r="F2471">
        <v>99.9</v>
      </c>
      <c r="G2471">
        <v>99</v>
      </c>
      <c r="H2471">
        <v>155.1</v>
      </c>
      <c r="I2471">
        <v>157.19999999999999</v>
      </c>
      <c r="J2471">
        <v>100</v>
      </c>
      <c r="K2471">
        <v>100</v>
      </c>
      <c r="L2471" s="1" t="s">
        <v>5867</v>
      </c>
      <c r="M2471" t="s">
        <v>5869</v>
      </c>
      <c r="N2471">
        <v>2</v>
      </c>
    </row>
    <row r="2472" spans="1:14" x14ac:dyDescent="0.25">
      <c r="A2472" s="3" t="str">
        <f>HYPERLINK("http://www.ncbi.nlm.nih.gov/gene/8028","8028")</f>
        <v>8028</v>
      </c>
      <c r="B2472" s="1" t="s">
        <v>5870</v>
      </c>
      <c r="C2472" t="s">
        <v>5871</v>
      </c>
      <c r="D2472">
        <v>145.4</v>
      </c>
      <c r="E2472">
        <v>151.30000000000001</v>
      </c>
      <c r="F2472">
        <v>96.8</v>
      </c>
      <c r="G2472">
        <v>95.5</v>
      </c>
      <c r="H2472">
        <v>131.9</v>
      </c>
      <c r="I2472">
        <v>135.80000000000001</v>
      </c>
      <c r="J2472">
        <v>97.1</v>
      </c>
      <c r="K2472">
        <v>97.1</v>
      </c>
      <c r="L2472" s="1" t="s">
        <v>5870</v>
      </c>
      <c r="M2472" t="s">
        <v>22</v>
      </c>
      <c r="N2472">
        <v>1</v>
      </c>
    </row>
    <row r="2473" spans="1:14" x14ac:dyDescent="0.25">
      <c r="A2473" s="3" t="str">
        <f>HYPERLINK("http://www.ncbi.nlm.nih.gov/gene/4302","4302")</f>
        <v>4302</v>
      </c>
      <c r="B2473" s="1" t="s">
        <v>5872</v>
      </c>
      <c r="C2473" t="s">
        <v>5873</v>
      </c>
      <c r="D2473">
        <v>108.1</v>
      </c>
      <c r="E2473">
        <v>106.4</v>
      </c>
      <c r="F2473">
        <v>98.8</v>
      </c>
      <c r="G2473">
        <v>94.3</v>
      </c>
      <c r="H2473">
        <v>187.9</v>
      </c>
      <c r="I2473">
        <v>192.5</v>
      </c>
      <c r="J2473">
        <v>100</v>
      </c>
      <c r="K2473">
        <v>100</v>
      </c>
      <c r="L2473" s="1" t="s">
        <v>5872</v>
      </c>
      <c r="M2473" t="s">
        <v>1462</v>
      </c>
      <c r="N2473">
        <v>2</v>
      </c>
    </row>
    <row r="2474" spans="1:14" x14ac:dyDescent="0.25">
      <c r="A2474" s="3" t="str">
        <f>HYPERLINK("http://www.ncbi.nlm.nih.gov/gene/79083","79083")</f>
        <v>79083</v>
      </c>
      <c r="B2474" s="1" t="s">
        <v>5874</v>
      </c>
      <c r="C2474" t="s">
        <v>5875</v>
      </c>
      <c r="D2474">
        <v>102.7</v>
      </c>
      <c r="E2474">
        <v>106.3</v>
      </c>
      <c r="F2474">
        <v>100</v>
      </c>
      <c r="G2474">
        <v>98.8</v>
      </c>
      <c r="H2474">
        <v>121.1</v>
      </c>
      <c r="I2474">
        <v>124.5</v>
      </c>
      <c r="J2474">
        <v>100</v>
      </c>
      <c r="K2474">
        <v>100</v>
      </c>
      <c r="L2474" s="1" t="s">
        <v>5874</v>
      </c>
      <c r="M2474" t="s">
        <v>5876</v>
      </c>
      <c r="N2474">
        <v>4</v>
      </c>
    </row>
    <row r="2475" spans="1:14" x14ac:dyDescent="0.25">
      <c r="A2475" s="3" t="str">
        <f>HYPERLINK("http://www.ncbi.nlm.nih.gov/gene/23417","23417")</f>
        <v>23417</v>
      </c>
      <c r="B2475" s="1" t="s">
        <v>5877</v>
      </c>
      <c r="C2475" t="s">
        <v>5878</v>
      </c>
      <c r="D2475">
        <v>90.6</v>
      </c>
      <c r="E2475">
        <v>92.6</v>
      </c>
      <c r="F2475">
        <v>96</v>
      </c>
      <c r="G2475">
        <v>90.4</v>
      </c>
      <c r="H2475">
        <v>130.9</v>
      </c>
      <c r="I2475">
        <v>137.80000000000001</v>
      </c>
      <c r="J2475">
        <v>100</v>
      </c>
      <c r="K2475">
        <v>98.9</v>
      </c>
      <c r="L2475" s="1" t="s">
        <v>5877</v>
      </c>
      <c r="M2475" t="s">
        <v>5879</v>
      </c>
      <c r="N2475">
        <v>5</v>
      </c>
    </row>
    <row r="2476" spans="1:14" x14ac:dyDescent="0.25">
      <c r="A2476" s="3" t="str">
        <f>HYPERLINK("http://www.ncbi.nlm.nih.gov/gene/166785","166785")</f>
        <v>166785</v>
      </c>
      <c r="B2476" s="1" t="s">
        <v>5880</v>
      </c>
      <c r="C2476" t="s">
        <v>5881</v>
      </c>
      <c r="D2476">
        <v>191.7</v>
      </c>
      <c r="E2476">
        <v>210.3</v>
      </c>
      <c r="F2476">
        <v>100</v>
      </c>
      <c r="G2476">
        <v>100</v>
      </c>
      <c r="H2476">
        <v>140.5</v>
      </c>
      <c r="I2476">
        <v>143.80000000000001</v>
      </c>
      <c r="J2476">
        <v>100</v>
      </c>
      <c r="K2476">
        <v>100</v>
      </c>
      <c r="L2476" s="1" t="s">
        <v>5880</v>
      </c>
      <c r="M2476" t="s">
        <v>38</v>
      </c>
      <c r="N2476">
        <v>4</v>
      </c>
    </row>
    <row r="2477" spans="1:14" x14ac:dyDescent="0.25">
      <c r="A2477" s="3" t="str">
        <f>HYPERLINK("http://www.ncbi.nlm.nih.gov/gene/326625","326625")</f>
        <v>326625</v>
      </c>
      <c r="B2477" s="1" t="s">
        <v>5882</v>
      </c>
      <c r="C2477" t="s">
        <v>5883</v>
      </c>
      <c r="D2477">
        <v>109</v>
      </c>
      <c r="E2477">
        <v>110.4</v>
      </c>
      <c r="F2477">
        <v>100</v>
      </c>
      <c r="G2477">
        <v>99.6</v>
      </c>
      <c r="H2477">
        <v>137</v>
      </c>
      <c r="I2477">
        <v>139.4</v>
      </c>
      <c r="J2477">
        <v>100</v>
      </c>
      <c r="K2477">
        <v>100</v>
      </c>
      <c r="L2477" s="1" t="s">
        <v>5882</v>
      </c>
      <c r="M2477" t="s">
        <v>38</v>
      </c>
      <c r="N2477">
        <v>4</v>
      </c>
    </row>
    <row r="2478" spans="1:14" x14ac:dyDescent="0.25">
      <c r="A2478" s="3" t="str">
        <f>HYPERLINK("http://www.ncbi.nlm.nih.gov/gene/25974","25974")</f>
        <v>25974</v>
      </c>
      <c r="B2478" s="1" t="s">
        <v>5884</v>
      </c>
      <c r="C2478" t="s">
        <v>5885</v>
      </c>
      <c r="D2478">
        <v>215.8</v>
      </c>
      <c r="E2478">
        <v>227.1</v>
      </c>
      <c r="F2478">
        <v>100</v>
      </c>
      <c r="G2478">
        <v>100</v>
      </c>
      <c r="H2478">
        <v>149.19999999999999</v>
      </c>
      <c r="I2478">
        <v>154.30000000000001</v>
      </c>
      <c r="J2478">
        <v>100</v>
      </c>
      <c r="K2478">
        <v>100</v>
      </c>
      <c r="L2478" s="1" t="s">
        <v>5884</v>
      </c>
      <c r="M2478" t="s">
        <v>5886</v>
      </c>
      <c r="N2478">
        <v>6</v>
      </c>
    </row>
    <row r="2479" spans="1:14" x14ac:dyDescent="0.25">
      <c r="A2479" s="3" t="str">
        <f>HYPERLINK("http://www.ncbi.nlm.nih.gov/gene/27249","27249")</f>
        <v>27249</v>
      </c>
      <c r="B2479" s="1" t="s">
        <v>5887</v>
      </c>
      <c r="C2479" t="s">
        <v>5888</v>
      </c>
      <c r="D2479">
        <v>95.9</v>
      </c>
      <c r="E2479">
        <v>101</v>
      </c>
      <c r="F2479">
        <v>94.4</v>
      </c>
      <c r="G2479">
        <v>83.5</v>
      </c>
      <c r="H2479">
        <v>121.4</v>
      </c>
      <c r="I2479">
        <v>124.8</v>
      </c>
      <c r="J2479">
        <v>89.7</v>
      </c>
      <c r="K2479">
        <v>89.7</v>
      </c>
      <c r="L2479" s="1" t="s">
        <v>5887</v>
      </c>
      <c r="M2479" t="s">
        <v>703</v>
      </c>
      <c r="N2479">
        <v>5</v>
      </c>
    </row>
    <row r="2480" spans="1:14" x14ac:dyDescent="0.25">
      <c r="A2480" s="3" t="str">
        <f>HYPERLINK("http://www.ncbi.nlm.nih.gov/gene/4311","4311")</f>
        <v>4311</v>
      </c>
      <c r="B2480" s="1" t="s">
        <v>5889</v>
      </c>
      <c r="C2480" t="s">
        <v>5890</v>
      </c>
      <c r="D2480">
        <v>135.4</v>
      </c>
      <c r="E2480">
        <v>138.19999999999999</v>
      </c>
      <c r="F2480">
        <v>99.8</v>
      </c>
      <c r="G2480">
        <v>98.7</v>
      </c>
      <c r="H2480">
        <v>116.6</v>
      </c>
      <c r="I2480">
        <v>119.6</v>
      </c>
      <c r="J2480">
        <v>98</v>
      </c>
      <c r="K2480">
        <v>98</v>
      </c>
      <c r="L2480" s="1" t="s">
        <v>5889</v>
      </c>
      <c r="M2480" t="s">
        <v>5891</v>
      </c>
      <c r="N2480">
        <v>4</v>
      </c>
    </row>
    <row r="2481" spans="1:14" x14ac:dyDescent="0.25">
      <c r="A2481" s="3" t="str">
        <f>HYPERLINK("http://www.ncbi.nlm.nih.gov/gene/4312","4312")</f>
        <v>4312</v>
      </c>
      <c r="B2481" s="1" t="s">
        <v>5892</v>
      </c>
      <c r="C2481" t="s">
        <v>5893</v>
      </c>
      <c r="D2481">
        <v>165.2</v>
      </c>
      <c r="E2481">
        <v>168.5</v>
      </c>
      <c r="F2481">
        <v>100</v>
      </c>
      <c r="G2481">
        <v>98.9</v>
      </c>
      <c r="H2481">
        <v>143.9</v>
      </c>
      <c r="I2481">
        <v>148.4</v>
      </c>
      <c r="J2481">
        <v>100</v>
      </c>
      <c r="K2481">
        <v>100</v>
      </c>
      <c r="L2481" s="1" t="s">
        <v>5892</v>
      </c>
      <c r="M2481" t="s">
        <v>5894</v>
      </c>
      <c r="N2481">
        <v>2</v>
      </c>
    </row>
    <row r="2482" spans="1:14" x14ac:dyDescent="0.25">
      <c r="A2482" s="3" t="str">
        <f>HYPERLINK("http://www.ncbi.nlm.nih.gov/gene/4319","4319")</f>
        <v>4319</v>
      </c>
      <c r="B2482" s="1" t="s">
        <v>5895</v>
      </c>
      <c r="C2482" t="s">
        <v>5896</v>
      </c>
      <c r="D2482">
        <v>138.30000000000001</v>
      </c>
      <c r="E2482">
        <v>143.4</v>
      </c>
      <c r="F2482">
        <v>99.8</v>
      </c>
      <c r="G2482">
        <v>98.1</v>
      </c>
      <c r="H2482">
        <v>151.19999999999999</v>
      </c>
      <c r="I2482">
        <v>156.19999999999999</v>
      </c>
      <c r="J2482">
        <v>100</v>
      </c>
      <c r="K2482">
        <v>100</v>
      </c>
      <c r="L2482" s="1" t="s">
        <v>5895</v>
      </c>
      <c r="M2482" t="s">
        <v>661</v>
      </c>
      <c r="N2482">
        <v>2</v>
      </c>
    </row>
    <row r="2483" spans="1:14" x14ac:dyDescent="0.25">
      <c r="A2483" s="3" t="str">
        <f>HYPERLINK("http://www.ncbi.nlm.nih.gov/gene/4321","4321")</f>
        <v>4321</v>
      </c>
      <c r="B2483" s="1" t="s">
        <v>5897</v>
      </c>
      <c r="C2483" t="s">
        <v>5898</v>
      </c>
      <c r="D2483">
        <v>136.4</v>
      </c>
      <c r="E2483">
        <v>141.1</v>
      </c>
      <c r="F2483">
        <v>100</v>
      </c>
      <c r="G2483">
        <v>99.6</v>
      </c>
      <c r="H2483">
        <v>130.30000000000001</v>
      </c>
      <c r="I2483">
        <v>134.19999999999999</v>
      </c>
      <c r="J2483">
        <v>100</v>
      </c>
      <c r="K2483">
        <v>100</v>
      </c>
      <c r="L2483" s="1" t="s">
        <v>5897</v>
      </c>
      <c r="M2483" t="s">
        <v>661</v>
      </c>
      <c r="N2483">
        <v>2</v>
      </c>
    </row>
    <row r="2484" spans="1:14" x14ac:dyDescent="0.25">
      <c r="A2484" s="3" t="str">
        <f>HYPERLINK("http://www.ncbi.nlm.nih.gov/gene/4322","4322")</f>
        <v>4322</v>
      </c>
      <c r="B2484" s="1" t="s">
        <v>5899</v>
      </c>
      <c r="C2484" t="s">
        <v>5900</v>
      </c>
      <c r="D2484">
        <v>137.1</v>
      </c>
      <c r="E2484">
        <v>139.30000000000001</v>
      </c>
      <c r="F2484">
        <v>95.2</v>
      </c>
      <c r="G2484">
        <v>92.2</v>
      </c>
      <c r="H2484">
        <v>113.3</v>
      </c>
      <c r="I2484">
        <v>116.6</v>
      </c>
      <c r="J2484">
        <v>92.4</v>
      </c>
      <c r="K2484">
        <v>92.4</v>
      </c>
      <c r="L2484" s="1" t="s">
        <v>5899</v>
      </c>
      <c r="M2484" t="s">
        <v>5901</v>
      </c>
      <c r="N2484">
        <v>4</v>
      </c>
    </row>
    <row r="2485" spans="1:14" x14ac:dyDescent="0.25">
      <c r="A2485" s="3" t="str">
        <f>HYPERLINK("http://www.ncbi.nlm.nih.gov/gene/4323","4323")</f>
        <v>4323</v>
      </c>
      <c r="B2485" s="1" t="s">
        <v>5902</v>
      </c>
      <c r="C2485" t="s">
        <v>5903</v>
      </c>
      <c r="D2485">
        <v>169.4</v>
      </c>
      <c r="E2485">
        <v>179.2</v>
      </c>
      <c r="F2485">
        <v>100</v>
      </c>
      <c r="G2485">
        <v>98.9</v>
      </c>
      <c r="H2485">
        <v>144.6</v>
      </c>
      <c r="I2485">
        <v>149.69999999999999</v>
      </c>
      <c r="J2485">
        <v>100</v>
      </c>
      <c r="K2485">
        <v>100</v>
      </c>
      <c r="L2485" s="1" t="s">
        <v>5902</v>
      </c>
      <c r="M2485" t="s">
        <v>5904</v>
      </c>
      <c r="N2485">
        <v>3</v>
      </c>
    </row>
    <row r="2486" spans="1:14" x14ac:dyDescent="0.25">
      <c r="A2486" s="3" t="str">
        <f>HYPERLINK("http://www.ncbi.nlm.nih.gov/gene/4327","4327")</f>
        <v>4327</v>
      </c>
      <c r="B2486" s="1" t="s">
        <v>5905</v>
      </c>
      <c r="C2486" t="s">
        <v>5906</v>
      </c>
      <c r="D2486">
        <v>136.30000000000001</v>
      </c>
      <c r="E2486">
        <v>142.1</v>
      </c>
      <c r="F2486">
        <v>100</v>
      </c>
      <c r="G2486">
        <v>99.5</v>
      </c>
      <c r="H2486">
        <v>130.6</v>
      </c>
      <c r="I2486">
        <v>134.4</v>
      </c>
      <c r="J2486">
        <v>100</v>
      </c>
      <c r="K2486">
        <v>100</v>
      </c>
      <c r="L2486" s="1" t="s">
        <v>5905</v>
      </c>
      <c r="M2486" t="s">
        <v>285</v>
      </c>
      <c r="N2486">
        <v>1</v>
      </c>
    </row>
    <row r="2487" spans="1:14" x14ac:dyDescent="0.25">
      <c r="A2487" s="3" t="str">
        <f>HYPERLINK("http://www.ncbi.nlm.nih.gov/gene/4313","4313")</f>
        <v>4313</v>
      </c>
      <c r="B2487" s="1" t="s">
        <v>5907</v>
      </c>
      <c r="C2487" t="s">
        <v>5908</v>
      </c>
      <c r="D2487">
        <v>153</v>
      </c>
      <c r="E2487">
        <v>162.5</v>
      </c>
      <c r="F2487">
        <v>100</v>
      </c>
      <c r="G2487">
        <v>100</v>
      </c>
      <c r="H2487">
        <v>132.5</v>
      </c>
      <c r="I2487">
        <v>137</v>
      </c>
      <c r="J2487">
        <v>100</v>
      </c>
      <c r="K2487">
        <v>100</v>
      </c>
      <c r="L2487" s="1" t="s">
        <v>5907</v>
      </c>
      <c r="M2487" t="s">
        <v>5909</v>
      </c>
      <c r="N2487">
        <v>5</v>
      </c>
    </row>
    <row r="2488" spans="1:14" x14ac:dyDescent="0.25">
      <c r="A2488" s="3" t="str">
        <f>HYPERLINK("http://www.ncbi.nlm.nih.gov/gene/9313","9313")</f>
        <v>9313</v>
      </c>
      <c r="B2488" s="1" t="s">
        <v>5910</v>
      </c>
      <c r="C2488" t="s">
        <v>5911</v>
      </c>
      <c r="D2488">
        <v>113.4</v>
      </c>
      <c r="E2488">
        <v>118.4</v>
      </c>
      <c r="F2488">
        <v>100</v>
      </c>
      <c r="G2488">
        <v>100</v>
      </c>
      <c r="H2488">
        <v>129.9</v>
      </c>
      <c r="I2488">
        <v>134.4</v>
      </c>
      <c r="J2488">
        <v>100</v>
      </c>
      <c r="K2488">
        <v>100</v>
      </c>
      <c r="L2488" s="1" t="s">
        <v>5910</v>
      </c>
      <c r="M2488" t="s">
        <v>4879</v>
      </c>
      <c r="N2488">
        <v>4</v>
      </c>
    </row>
    <row r="2489" spans="1:14" x14ac:dyDescent="0.25">
      <c r="A2489" s="3" t="str">
        <f>HYPERLINK("http://www.ncbi.nlm.nih.gov/gene/118856","118856")</f>
        <v>118856</v>
      </c>
      <c r="B2489" s="1" t="s">
        <v>5912</v>
      </c>
      <c r="C2489" t="s">
        <v>5913</v>
      </c>
      <c r="D2489">
        <v>124.8</v>
      </c>
      <c r="E2489">
        <v>110.1</v>
      </c>
      <c r="F2489">
        <v>99.9</v>
      </c>
      <c r="G2489">
        <v>98.8</v>
      </c>
      <c r="H2489">
        <v>136.19999999999999</v>
      </c>
      <c r="I2489">
        <v>139.4</v>
      </c>
      <c r="J2489">
        <v>100</v>
      </c>
      <c r="K2489">
        <v>100</v>
      </c>
      <c r="L2489" s="1" t="s">
        <v>5912</v>
      </c>
      <c r="M2489" t="s">
        <v>5914</v>
      </c>
      <c r="N2489">
        <v>5</v>
      </c>
    </row>
    <row r="2490" spans="1:14" x14ac:dyDescent="0.25">
      <c r="A2490" s="3" t="str">
        <f>HYPERLINK("http://www.ncbi.nlm.nih.gov/gene/4314","4314")</f>
        <v>4314</v>
      </c>
      <c r="B2490" s="1" t="s">
        <v>5915</v>
      </c>
      <c r="C2490" t="s">
        <v>5916</v>
      </c>
      <c r="D2490">
        <v>116.6</v>
      </c>
      <c r="E2490">
        <v>118.9</v>
      </c>
      <c r="F2490">
        <v>99.5</v>
      </c>
      <c r="G2490">
        <v>96.7</v>
      </c>
      <c r="H2490">
        <v>148.69999999999999</v>
      </c>
      <c r="I2490">
        <v>153.69999999999999</v>
      </c>
      <c r="J2490">
        <v>100</v>
      </c>
      <c r="K2490">
        <v>100</v>
      </c>
      <c r="L2490" s="1" t="s">
        <v>5915</v>
      </c>
      <c r="M2490" t="s">
        <v>661</v>
      </c>
      <c r="N2490">
        <v>2</v>
      </c>
    </row>
    <row r="2491" spans="1:14" x14ac:dyDescent="0.25">
      <c r="A2491" s="3" t="str">
        <f>HYPERLINK("http://www.ncbi.nlm.nih.gov/gene/4316","4316")</f>
        <v>4316</v>
      </c>
      <c r="B2491" s="1" t="s">
        <v>5917</v>
      </c>
      <c r="C2491" t="s">
        <v>5918</v>
      </c>
      <c r="D2491">
        <v>211.5</v>
      </c>
      <c r="E2491">
        <v>222.6</v>
      </c>
      <c r="F2491">
        <v>100</v>
      </c>
      <c r="G2491">
        <v>99.9</v>
      </c>
      <c r="H2491">
        <v>131</v>
      </c>
      <c r="I2491">
        <v>135.1</v>
      </c>
      <c r="J2491">
        <v>100</v>
      </c>
      <c r="K2491">
        <v>100</v>
      </c>
      <c r="L2491" s="1" t="s">
        <v>5917</v>
      </c>
      <c r="M2491" t="s">
        <v>661</v>
      </c>
      <c r="N2491">
        <v>2</v>
      </c>
    </row>
    <row r="2492" spans="1:14" x14ac:dyDescent="0.25">
      <c r="A2492" s="3" t="str">
        <f>HYPERLINK("http://www.ncbi.nlm.nih.gov/gene/4317","4317")</f>
        <v>4317</v>
      </c>
      <c r="B2492" s="1" t="s">
        <v>5919</v>
      </c>
      <c r="C2492" t="s">
        <v>5920</v>
      </c>
      <c r="D2492">
        <v>161.80000000000001</v>
      </c>
      <c r="E2492">
        <v>169.1</v>
      </c>
      <c r="F2492">
        <v>100</v>
      </c>
      <c r="G2492">
        <v>100</v>
      </c>
      <c r="H2492">
        <v>116.5</v>
      </c>
      <c r="I2492">
        <v>119.8</v>
      </c>
      <c r="J2492">
        <v>100</v>
      </c>
      <c r="K2492">
        <v>100</v>
      </c>
      <c r="L2492" s="1" t="s">
        <v>5919</v>
      </c>
      <c r="M2492" t="s">
        <v>661</v>
      </c>
      <c r="N2492">
        <v>2</v>
      </c>
    </row>
    <row r="2493" spans="1:14" x14ac:dyDescent="0.25">
      <c r="A2493" s="3" t="str">
        <f>HYPERLINK("http://www.ncbi.nlm.nih.gov/gene/4318","4318")</f>
        <v>4318</v>
      </c>
      <c r="B2493" s="1" t="s">
        <v>5921</v>
      </c>
      <c r="C2493" t="s">
        <v>5922</v>
      </c>
      <c r="D2493">
        <v>147.30000000000001</v>
      </c>
      <c r="E2493">
        <v>147.69999999999999</v>
      </c>
      <c r="F2493">
        <v>99.1</v>
      </c>
      <c r="G2493">
        <v>96.1</v>
      </c>
      <c r="H2493">
        <v>160</v>
      </c>
      <c r="I2493">
        <v>164.9</v>
      </c>
      <c r="J2493">
        <v>100</v>
      </c>
      <c r="K2493">
        <v>100</v>
      </c>
      <c r="L2493" s="1" t="s">
        <v>5921</v>
      </c>
      <c r="M2493" t="s">
        <v>5923</v>
      </c>
      <c r="N2493">
        <v>4</v>
      </c>
    </row>
    <row r="2494" spans="1:14" x14ac:dyDescent="0.25">
      <c r="A2494" s="3" t="str">
        <f>HYPERLINK("http://www.ncbi.nlm.nih.gov/gene/4594","4594")</f>
        <v>4594</v>
      </c>
      <c r="B2494" s="1" t="s">
        <v>5924</v>
      </c>
      <c r="C2494" t="s">
        <v>5925</v>
      </c>
      <c r="D2494">
        <v>162.30000000000001</v>
      </c>
      <c r="E2494">
        <v>166.1</v>
      </c>
      <c r="F2494">
        <v>99.8</v>
      </c>
      <c r="G2494">
        <v>98.3</v>
      </c>
      <c r="H2494">
        <v>136.5</v>
      </c>
      <c r="I2494">
        <v>140.69999999999999</v>
      </c>
      <c r="J2494">
        <v>100</v>
      </c>
      <c r="K2494">
        <v>100</v>
      </c>
      <c r="L2494" s="1" t="s">
        <v>5924</v>
      </c>
      <c r="M2494" t="s">
        <v>38</v>
      </c>
      <c r="N2494">
        <v>4</v>
      </c>
    </row>
    <row r="2495" spans="1:14" x14ac:dyDescent="0.25">
      <c r="A2495" s="3" t="str">
        <f>HYPERLINK("http://www.ncbi.nlm.nih.gov/gene/4330","4330")</f>
        <v>4330</v>
      </c>
      <c r="B2495" s="1" t="s">
        <v>5926</v>
      </c>
      <c r="C2495" t="s">
        <v>5927</v>
      </c>
      <c r="D2495">
        <v>124.4</v>
      </c>
      <c r="E2495">
        <v>108.4</v>
      </c>
      <c r="F2495">
        <v>100</v>
      </c>
      <c r="G2495">
        <v>99.3</v>
      </c>
      <c r="H2495">
        <v>168.2</v>
      </c>
      <c r="I2495">
        <v>170.6</v>
      </c>
      <c r="J2495">
        <v>100</v>
      </c>
      <c r="K2495">
        <v>100</v>
      </c>
      <c r="L2495" s="1" t="s">
        <v>5926</v>
      </c>
      <c r="M2495" t="s">
        <v>1679</v>
      </c>
      <c r="N2495">
        <v>3</v>
      </c>
    </row>
    <row r="2496" spans="1:14" x14ac:dyDescent="0.25">
      <c r="A2496" s="3" t="str">
        <f>HYPERLINK("http://www.ncbi.nlm.nih.gov/gene/3110","3110")</f>
        <v>3110</v>
      </c>
      <c r="B2496" s="1" t="s">
        <v>5928</v>
      </c>
      <c r="C2496" t="s">
        <v>5929</v>
      </c>
      <c r="D2496">
        <v>46.5</v>
      </c>
      <c r="E2496">
        <v>41.2</v>
      </c>
      <c r="F2496">
        <v>68.2</v>
      </c>
      <c r="G2496">
        <v>58.3</v>
      </c>
      <c r="H2496">
        <v>85.4</v>
      </c>
      <c r="I2496">
        <v>80.900000000000006</v>
      </c>
      <c r="J2496">
        <v>87.4</v>
      </c>
      <c r="K2496">
        <v>79.2</v>
      </c>
      <c r="L2496" s="1" t="s">
        <v>5928</v>
      </c>
      <c r="M2496" t="s">
        <v>1253</v>
      </c>
      <c r="N2496">
        <v>2</v>
      </c>
    </row>
    <row r="2497" spans="1:14" x14ac:dyDescent="0.25">
      <c r="A2497" s="3" t="str">
        <f>HYPERLINK("http://www.ncbi.nlm.nih.gov/gene/55034","55034")</f>
        <v>55034</v>
      </c>
      <c r="B2497" s="1" t="s">
        <v>5930</v>
      </c>
      <c r="C2497" t="s">
        <v>5931</v>
      </c>
      <c r="D2497">
        <v>170.8</v>
      </c>
      <c r="E2497">
        <v>178.8</v>
      </c>
      <c r="F2497">
        <v>99.8</v>
      </c>
      <c r="G2497">
        <v>97.7</v>
      </c>
      <c r="H2497">
        <v>141.19999999999999</v>
      </c>
      <c r="I2497">
        <v>145.6</v>
      </c>
      <c r="J2497">
        <v>100</v>
      </c>
      <c r="K2497">
        <v>100</v>
      </c>
      <c r="L2497" s="1" t="s">
        <v>5930</v>
      </c>
      <c r="M2497" t="s">
        <v>365</v>
      </c>
      <c r="N2497">
        <v>4</v>
      </c>
    </row>
    <row r="2498" spans="1:14" x14ac:dyDescent="0.25">
      <c r="A2498" s="3" t="str">
        <f>HYPERLINK("http://www.ncbi.nlm.nih.gov/gene/4337","4337")</f>
        <v>4337</v>
      </c>
      <c r="B2498" s="1" t="s">
        <v>5932</v>
      </c>
      <c r="C2498" t="s">
        <v>5933</v>
      </c>
      <c r="D2498">
        <v>110.1</v>
      </c>
      <c r="E2498">
        <v>93.1</v>
      </c>
      <c r="F2498">
        <v>99.2</v>
      </c>
      <c r="G2498">
        <v>95.1</v>
      </c>
      <c r="H2498">
        <v>134</v>
      </c>
      <c r="I2498">
        <v>135.9</v>
      </c>
      <c r="J2498">
        <v>100</v>
      </c>
      <c r="K2498">
        <v>100</v>
      </c>
      <c r="L2498" s="1" t="s">
        <v>5932</v>
      </c>
      <c r="M2498" t="s">
        <v>214</v>
      </c>
      <c r="N2498">
        <v>5</v>
      </c>
    </row>
    <row r="2499" spans="1:14" x14ac:dyDescent="0.25">
      <c r="A2499" s="3" t="str">
        <f>HYPERLINK("http://www.ncbi.nlm.nih.gov/gene/4338","4338")</f>
        <v>4338</v>
      </c>
      <c r="B2499" s="1" t="s">
        <v>5934</v>
      </c>
      <c r="C2499" t="s">
        <v>5935</v>
      </c>
      <c r="D2499">
        <v>158.69999999999999</v>
      </c>
      <c r="E2499">
        <v>166.1</v>
      </c>
      <c r="F2499">
        <v>99.6</v>
      </c>
      <c r="G2499">
        <v>99.5</v>
      </c>
      <c r="H2499">
        <v>148.19999999999999</v>
      </c>
      <c r="I2499">
        <v>153.30000000000001</v>
      </c>
      <c r="J2499">
        <v>100</v>
      </c>
      <c r="K2499">
        <v>100</v>
      </c>
      <c r="L2499" s="1" t="s">
        <v>5934</v>
      </c>
      <c r="M2499" t="s">
        <v>214</v>
      </c>
      <c r="N2499">
        <v>5</v>
      </c>
    </row>
    <row r="2500" spans="1:14" x14ac:dyDescent="0.25">
      <c r="A2500" s="3" t="str">
        <f>HYPERLINK("http://www.ncbi.nlm.nih.gov/gene/4340","4340")</f>
        <v>4340</v>
      </c>
      <c r="B2500" s="1" t="s">
        <v>5936</v>
      </c>
      <c r="C2500" t="s">
        <v>5937</v>
      </c>
      <c r="D2500">
        <v>99.8</v>
      </c>
      <c r="E2500">
        <v>101.3</v>
      </c>
      <c r="F2500">
        <v>100</v>
      </c>
      <c r="G2500">
        <v>99.5</v>
      </c>
      <c r="H2500">
        <v>202.8</v>
      </c>
      <c r="I2500">
        <v>207.3</v>
      </c>
      <c r="J2500">
        <v>100</v>
      </c>
      <c r="K2500">
        <v>100</v>
      </c>
      <c r="L2500" s="1" t="s">
        <v>5936</v>
      </c>
      <c r="M2500" t="s">
        <v>285</v>
      </c>
      <c r="N2500">
        <v>1</v>
      </c>
    </row>
    <row r="2501" spans="1:14" x14ac:dyDescent="0.25">
      <c r="A2501" s="3" t="str">
        <f>HYPERLINK("http://www.ncbi.nlm.nih.gov/gene/7841","7841")</f>
        <v>7841</v>
      </c>
      <c r="B2501" s="1" t="s">
        <v>5938</v>
      </c>
      <c r="C2501" t="s">
        <v>5939</v>
      </c>
      <c r="D2501">
        <v>154</v>
      </c>
      <c r="E2501">
        <v>146.69999999999999</v>
      </c>
      <c r="F2501">
        <v>100</v>
      </c>
      <c r="G2501">
        <v>99.9</v>
      </c>
      <c r="H2501">
        <v>143.5</v>
      </c>
      <c r="I2501">
        <v>145.30000000000001</v>
      </c>
      <c r="J2501">
        <v>100</v>
      </c>
      <c r="K2501">
        <v>100</v>
      </c>
      <c r="L2501" s="1" t="s">
        <v>5938</v>
      </c>
      <c r="M2501" t="s">
        <v>2853</v>
      </c>
      <c r="N2501">
        <v>5</v>
      </c>
    </row>
    <row r="2502" spans="1:14" x14ac:dyDescent="0.25">
      <c r="A2502" s="3" t="str">
        <f>HYPERLINK("http://www.ncbi.nlm.nih.gov/gene/22880","22880")</f>
        <v>22880</v>
      </c>
      <c r="B2502" s="1" t="s">
        <v>5940</v>
      </c>
      <c r="C2502" t="s">
        <v>5941</v>
      </c>
      <c r="D2502">
        <v>140.80000000000001</v>
      </c>
      <c r="E2502">
        <v>141.69999999999999</v>
      </c>
      <c r="F2502">
        <v>100</v>
      </c>
      <c r="G2502">
        <v>99.8</v>
      </c>
      <c r="H2502">
        <v>144.69999999999999</v>
      </c>
      <c r="I2502">
        <v>148.5</v>
      </c>
      <c r="J2502">
        <v>100</v>
      </c>
      <c r="K2502">
        <v>100</v>
      </c>
      <c r="L2502" s="1" t="s">
        <v>5940</v>
      </c>
      <c r="M2502" t="s">
        <v>718</v>
      </c>
      <c r="N2502">
        <v>2</v>
      </c>
    </row>
    <row r="2503" spans="1:14" x14ac:dyDescent="0.25">
      <c r="A2503" s="3" t="str">
        <f>HYPERLINK("http://www.ncbi.nlm.nih.gov/gene/51660","51660")</f>
        <v>51660</v>
      </c>
      <c r="B2503" s="1" t="s">
        <v>5942</v>
      </c>
      <c r="C2503" t="s">
        <v>5943</v>
      </c>
      <c r="D2503">
        <v>162.80000000000001</v>
      </c>
      <c r="E2503">
        <v>164.8</v>
      </c>
      <c r="F2503">
        <v>100</v>
      </c>
      <c r="G2503">
        <v>99.6</v>
      </c>
      <c r="H2503">
        <v>133</v>
      </c>
      <c r="I2503">
        <v>136</v>
      </c>
      <c r="J2503">
        <v>100</v>
      </c>
      <c r="K2503">
        <v>100</v>
      </c>
      <c r="L2503" s="1" t="s">
        <v>5942</v>
      </c>
      <c r="M2503" t="s">
        <v>766</v>
      </c>
      <c r="N2503">
        <v>3</v>
      </c>
    </row>
    <row r="2504" spans="1:14" x14ac:dyDescent="0.25">
      <c r="A2504" s="3" t="str">
        <f>HYPERLINK("http://www.ncbi.nlm.nih.gov/gene/9526","9526")</f>
        <v>9526</v>
      </c>
      <c r="B2504" s="1" t="s">
        <v>5944</v>
      </c>
      <c r="C2504" t="s">
        <v>5945</v>
      </c>
      <c r="D2504">
        <v>109.6</v>
      </c>
      <c r="E2504">
        <v>112</v>
      </c>
      <c r="F2504">
        <v>100</v>
      </c>
      <c r="G2504">
        <v>100</v>
      </c>
      <c r="H2504">
        <v>134.9</v>
      </c>
      <c r="I2504">
        <v>138</v>
      </c>
      <c r="J2504">
        <v>100</v>
      </c>
      <c r="K2504">
        <v>100</v>
      </c>
      <c r="L2504" s="1" t="s">
        <v>5944</v>
      </c>
      <c r="M2504" t="s">
        <v>214</v>
      </c>
      <c r="N2504">
        <v>5</v>
      </c>
    </row>
    <row r="2505" spans="1:14" x14ac:dyDescent="0.25">
      <c r="A2505" s="3" t="str">
        <f>HYPERLINK("http://www.ncbi.nlm.nih.gov/gene/8777","8777")</f>
        <v>8777</v>
      </c>
      <c r="B2505" s="1" t="s">
        <v>5946</v>
      </c>
      <c r="C2505" t="s">
        <v>5947</v>
      </c>
      <c r="D2505">
        <v>154.19999999999999</v>
      </c>
      <c r="E2505">
        <v>159.6</v>
      </c>
      <c r="F2505">
        <v>99.8</v>
      </c>
      <c r="G2505">
        <v>98.8</v>
      </c>
      <c r="H2505">
        <v>145.4</v>
      </c>
      <c r="I2505">
        <v>149.9</v>
      </c>
      <c r="J2505">
        <v>100</v>
      </c>
      <c r="K2505">
        <v>100</v>
      </c>
      <c r="L2505" s="1" t="s">
        <v>5946</v>
      </c>
      <c r="M2505" t="s">
        <v>5948</v>
      </c>
      <c r="N2505">
        <v>4</v>
      </c>
    </row>
    <row r="2506" spans="1:14" x14ac:dyDescent="0.25">
      <c r="A2506" s="3" t="str">
        <f>HYPERLINK("http://www.ncbi.nlm.nih.gov/gene/4351","4351")</f>
        <v>4351</v>
      </c>
      <c r="B2506" s="1" t="s">
        <v>5949</v>
      </c>
      <c r="C2506" t="s">
        <v>5950</v>
      </c>
      <c r="D2506">
        <v>115.4</v>
      </c>
      <c r="E2506">
        <v>123.7</v>
      </c>
      <c r="F2506">
        <v>100</v>
      </c>
      <c r="G2506">
        <v>99.9</v>
      </c>
      <c r="H2506">
        <v>150.69999999999999</v>
      </c>
      <c r="I2506">
        <v>155.1</v>
      </c>
      <c r="J2506">
        <v>100</v>
      </c>
      <c r="K2506">
        <v>100</v>
      </c>
      <c r="L2506" s="1" t="s">
        <v>5949</v>
      </c>
      <c r="M2506" t="s">
        <v>116</v>
      </c>
      <c r="N2506">
        <v>3</v>
      </c>
    </row>
    <row r="2507" spans="1:14" x14ac:dyDescent="0.25">
      <c r="A2507" s="3" t="str">
        <f>HYPERLINK("http://www.ncbi.nlm.nih.gov/gene/80739","80739")</f>
        <v>80739</v>
      </c>
      <c r="B2507" s="1" t="s">
        <v>5951</v>
      </c>
      <c r="C2507" t="s">
        <v>5952</v>
      </c>
      <c r="D2507">
        <v>137.69999999999999</v>
      </c>
      <c r="E2507">
        <v>144.5</v>
      </c>
      <c r="F2507">
        <v>100</v>
      </c>
      <c r="G2507">
        <v>100</v>
      </c>
      <c r="H2507">
        <v>215.7</v>
      </c>
      <c r="I2507">
        <v>219.5</v>
      </c>
      <c r="J2507">
        <v>100</v>
      </c>
      <c r="K2507">
        <v>100</v>
      </c>
      <c r="L2507" s="1" t="s">
        <v>5951</v>
      </c>
      <c r="M2507" t="s">
        <v>1563</v>
      </c>
      <c r="N2507">
        <v>2</v>
      </c>
    </row>
    <row r="2508" spans="1:14" x14ac:dyDescent="0.25">
      <c r="A2508" s="3" t="str">
        <f>HYPERLINK("http://www.ncbi.nlm.nih.gov/gene/4352","4352")</f>
        <v>4352</v>
      </c>
      <c r="B2508" s="1" t="s">
        <v>5953</v>
      </c>
      <c r="C2508" t="s">
        <v>5954</v>
      </c>
      <c r="D2508">
        <v>132</v>
      </c>
      <c r="E2508">
        <v>140.19999999999999</v>
      </c>
      <c r="F2508">
        <v>100</v>
      </c>
      <c r="G2508">
        <v>99.5</v>
      </c>
      <c r="H2508">
        <v>149.5</v>
      </c>
      <c r="I2508">
        <v>155.30000000000001</v>
      </c>
      <c r="J2508">
        <v>100</v>
      </c>
      <c r="K2508">
        <v>100</v>
      </c>
      <c r="L2508" s="1" t="s">
        <v>5953</v>
      </c>
      <c r="M2508" t="s">
        <v>5955</v>
      </c>
      <c r="N2508">
        <v>6</v>
      </c>
    </row>
    <row r="2509" spans="1:14" x14ac:dyDescent="0.25">
      <c r="A2509" s="3" t="str">
        <f>HYPERLINK("http://www.ncbi.nlm.nih.gov/gene/136647","136647")</f>
        <v>136647</v>
      </c>
      <c r="B2509" s="1" t="s">
        <v>5956</v>
      </c>
      <c r="C2509" t="s">
        <v>5957</v>
      </c>
      <c r="D2509">
        <v>100.8</v>
      </c>
      <c r="E2509">
        <v>106.4</v>
      </c>
      <c r="F2509">
        <v>100</v>
      </c>
      <c r="G2509">
        <v>99.4</v>
      </c>
      <c r="H2509">
        <v>149.69999999999999</v>
      </c>
      <c r="I2509">
        <v>151.1</v>
      </c>
      <c r="J2509">
        <v>100</v>
      </c>
      <c r="K2509">
        <v>100</v>
      </c>
      <c r="L2509" s="1" t="s">
        <v>5956</v>
      </c>
      <c r="M2509" t="s">
        <v>3238</v>
      </c>
      <c r="N2509">
        <v>4</v>
      </c>
    </row>
    <row r="2510" spans="1:14" x14ac:dyDescent="0.25">
      <c r="A2510" s="3" t="str">
        <f>HYPERLINK("http://www.ncbi.nlm.nih.gov/gene/4353","4353")</f>
        <v>4353</v>
      </c>
      <c r="B2510" s="1" t="s">
        <v>5958</v>
      </c>
      <c r="D2510">
        <v>153.6</v>
      </c>
      <c r="E2510">
        <v>163.5</v>
      </c>
      <c r="F2510">
        <v>100</v>
      </c>
      <c r="G2510">
        <v>99.9</v>
      </c>
      <c r="H2510">
        <v>149.4</v>
      </c>
      <c r="I2510">
        <v>153.69999999999999</v>
      </c>
      <c r="J2510">
        <v>100</v>
      </c>
      <c r="K2510">
        <v>100</v>
      </c>
      <c r="L2510" s="1" t="s">
        <v>5958</v>
      </c>
      <c r="M2510" t="s">
        <v>53</v>
      </c>
      <c r="N2510">
        <v>2</v>
      </c>
    </row>
    <row r="2511" spans="1:14" x14ac:dyDescent="0.25">
      <c r="A2511" s="3" t="str">
        <f>HYPERLINK("http://www.ncbi.nlm.nih.gov/gene/4358","4358")</f>
        <v>4358</v>
      </c>
      <c r="B2511" s="1" t="s">
        <v>5959</v>
      </c>
      <c r="C2511" t="s">
        <v>5960</v>
      </c>
      <c r="D2511">
        <v>95.1</v>
      </c>
      <c r="E2511">
        <v>97.4</v>
      </c>
      <c r="F2511">
        <v>100</v>
      </c>
      <c r="G2511">
        <v>97.2</v>
      </c>
      <c r="H2511">
        <v>130.19999999999999</v>
      </c>
      <c r="I2511">
        <v>132.5</v>
      </c>
      <c r="J2511">
        <v>100</v>
      </c>
      <c r="K2511">
        <v>100</v>
      </c>
      <c r="L2511" s="1" t="s">
        <v>5959</v>
      </c>
      <c r="M2511" t="s">
        <v>5961</v>
      </c>
      <c r="N2511">
        <v>5</v>
      </c>
    </row>
    <row r="2512" spans="1:14" x14ac:dyDescent="0.25">
      <c r="A2512" s="3" t="str">
        <f>HYPERLINK("http://www.ncbi.nlm.nih.gov/gene/4359","4359")</f>
        <v>4359</v>
      </c>
      <c r="B2512" s="1" t="s">
        <v>5962</v>
      </c>
      <c r="C2512" t="s">
        <v>5963</v>
      </c>
      <c r="D2512">
        <v>109.7</v>
      </c>
      <c r="E2512">
        <v>104.4</v>
      </c>
      <c r="F2512">
        <v>87.9</v>
      </c>
      <c r="G2512">
        <v>84.1</v>
      </c>
      <c r="H2512">
        <v>144.19999999999999</v>
      </c>
      <c r="I2512">
        <v>147</v>
      </c>
      <c r="J2512">
        <v>100</v>
      </c>
      <c r="K2512">
        <v>100</v>
      </c>
      <c r="L2512" s="1" t="s">
        <v>5962</v>
      </c>
      <c r="M2512" t="s">
        <v>5964</v>
      </c>
      <c r="N2512">
        <v>5</v>
      </c>
    </row>
    <row r="2513" spans="1:14" x14ac:dyDescent="0.25">
      <c r="A2513" s="3" t="str">
        <f>HYPERLINK("http://www.ncbi.nlm.nih.gov/gene/10205","10205")</f>
        <v>10205</v>
      </c>
      <c r="B2513" s="1" t="s">
        <v>5965</v>
      </c>
      <c r="C2513" t="s">
        <v>5966</v>
      </c>
      <c r="D2513">
        <v>108.6</v>
      </c>
      <c r="E2513">
        <v>113</v>
      </c>
      <c r="F2513">
        <v>100</v>
      </c>
      <c r="G2513">
        <v>99.9</v>
      </c>
      <c r="H2513">
        <v>147</v>
      </c>
      <c r="I2513">
        <v>152</v>
      </c>
      <c r="J2513">
        <v>100</v>
      </c>
      <c r="K2513">
        <v>100</v>
      </c>
      <c r="L2513" s="1" t="s">
        <v>5965</v>
      </c>
      <c r="M2513" t="s">
        <v>269</v>
      </c>
      <c r="N2513">
        <v>3</v>
      </c>
    </row>
    <row r="2514" spans="1:14" x14ac:dyDescent="0.25">
      <c r="A2514" s="3" t="str">
        <f>HYPERLINK("http://www.ncbi.nlm.nih.gov/gene/56246","56246")</f>
        <v>56246</v>
      </c>
      <c r="B2514" s="1" t="s">
        <v>5967</v>
      </c>
      <c r="C2514" t="s">
        <v>5968</v>
      </c>
      <c r="D2514">
        <v>182.7</v>
      </c>
      <c r="E2514">
        <v>180.8</v>
      </c>
      <c r="F2514">
        <v>100</v>
      </c>
      <c r="G2514">
        <v>100</v>
      </c>
      <c r="H2514">
        <v>148.1</v>
      </c>
      <c r="I2514">
        <v>152.1</v>
      </c>
      <c r="J2514">
        <v>100</v>
      </c>
      <c r="K2514">
        <v>100</v>
      </c>
      <c r="L2514" s="1" t="s">
        <v>5967</v>
      </c>
      <c r="M2514" t="s">
        <v>1472</v>
      </c>
      <c r="N2514">
        <v>3</v>
      </c>
    </row>
    <row r="2515" spans="1:14" x14ac:dyDescent="0.25">
      <c r="A2515" s="3" t="str">
        <f>HYPERLINK("http://www.ncbi.nlm.nih.gov/gene/22808","22808")</f>
        <v>22808</v>
      </c>
      <c r="B2515" s="1" t="s">
        <v>5969</v>
      </c>
      <c r="C2515" t="s">
        <v>5970</v>
      </c>
      <c r="D2515">
        <v>103.4</v>
      </c>
      <c r="E2515">
        <v>110.8</v>
      </c>
      <c r="F2515">
        <v>100</v>
      </c>
      <c r="G2515">
        <v>99.6</v>
      </c>
      <c r="H2515">
        <v>140.1</v>
      </c>
      <c r="I2515">
        <v>143.5</v>
      </c>
      <c r="J2515">
        <v>100</v>
      </c>
      <c r="K2515">
        <v>100</v>
      </c>
      <c r="L2515" s="1" t="s">
        <v>5969</v>
      </c>
      <c r="M2515" t="s">
        <v>189</v>
      </c>
      <c r="N2515">
        <v>2</v>
      </c>
    </row>
    <row r="2516" spans="1:14" x14ac:dyDescent="0.25">
      <c r="A2516" s="3" t="str">
        <f>HYPERLINK("http://www.ncbi.nlm.nih.gov/gene/4361","4361")</f>
        <v>4361</v>
      </c>
      <c r="B2516" s="1" t="s">
        <v>5971</v>
      </c>
      <c r="C2516" t="s">
        <v>5972</v>
      </c>
      <c r="D2516">
        <v>63.7</v>
      </c>
      <c r="E2516">
        <v>64.099999999999994</v>
      </c>
      <c r="F2516">
        <v>98.9</v>
      </c>
      <c r="G2516">
        <v>93.3</v>
      </c>
      <c r="H2516">
        <v>126.3</v>
      </c>
      <c r="I2516">
        <v>129.4</v>
      </c>
      <c r="J2516">
        <v>100</v>
      </c>
      <c r="K2516">
        <v>100</v>
      </c>
      <c r="L2516" s="1" t="s">
        <v>5971</v>
      </c>
      <c r="M2516" t="s">
        <v>5973</v>
      </c>
      <c r="N2516">
        <v>7</v>
      </c>
    </row>
    <row r="2517" spans="1:14" x14ac:dyDescent="0.25">
      <c r="A2517" s="3" t="str">
        <f>HYPERLINK("http://www.ncbi.nlm.nih.gov/gene/29960","29960")</f>
        <v>29960</v>
      </c>
      <c r="B2517" s="1" t="s">
        <v>5974</v>
      </c>
      <c r="C2517" t="s">
        <v>5975</v>
      </c>
      <c r="D2517">
        <v>127.5</v>
      </c>
      <c r="E2517">
        <v>134.9</v>
      </c>
      <c r="F2517">
        <v>100</v>
      </c>
      <c r="G2517">
        <v>99.4</v>
      </c>
      <c r="H2517">
        <v>153.4</v>
      </c>
      <c r="I2517">
        <v>158.1</v>
      </c>
      <c r="J2517">
        <v>98.9</v>
      </c>
      <c r="K2517">
        <v>98.9</v>
      </c>
      <c r="L2517" s="1" t="s">
        <v>5974</v>
      </c>
      <c r="M2517" t="s">
        <v>766</v>
      </c>
      <c r="N2517">
        <v>3</v>
      </c>
    </row>
    <row r="2518" spans="1:14" x14ac:dyDescent="0.25">
      <c r="A2518" s="3" t="str">
        <f>HYPERLINK("http://www.ncbi.nlm.nih.gov/gene/6182","6182")</f>
        <v>6182</v>
      </c>
      <c r="B2518" s="1" t="s">
        <v>5976</v>
      </c>
      <c r="C2518" t="s">
        <v>5977</v>
      </c>
      <c r="D2518">
        <v>124.6</v>
      </c>
      <c r="E2518">
        <v>130.9</v>
      </c>
      <c r="F2518">
        <v>100</v>
      </c>
      <c r="G2518">
        <v>98.2</v>
      </c>
      <c r="H2518">
        <v>117.7</v>
      </c>
      <c r="I2518">
        <v>120.7</v>
      </c>
      <c r="J2518">
        <v>100</v>
      </c>
      <c r="K2518">
        <v>100</v>
      </c>
      <c r="L2518" s="1" t="s">
        <v>5976</v>
      </c>
      <c r="M2518" t="s">
        <v>265</v>
      </c>
      <c r="N2518">
        <v>2</v>
      </c>
    </row>
    <row r="2519" spans="1:14" x14ac:dyDescent="0.25">
      <c r="A2519" s="3" t="str">
        <f>HYPERLINK("http://www.ncbi.nlm.nih.gov/gene/79590","79590")</f>
        <v>79590</v>
      </c>
      <c r="B2519" s="1" t="s">
        <v>5978</v>
      </c>
      <c r="C2519" t="s">
        <v>5979</v>
      </c>
      <c r="D2519">
        <v>151.4</v>
      </c>
      <c r="E2519">
        <v>152.69999999999999</v>
      </c>
      <c r="F2519">
        <v>100</v>
      </c>
      <c r="G2519">
        <v>99.9</v>
      </c>
      <c r="H2519">
        <v>140.4</v>
      </c>
      <c r="I2519">
        <v>143.5</v>
      </c>
      <c r="J2519">
        <v>100</v>
      </c>
      <c r="K2519">
        <v>100</v>
      </c>
      <c r="L2519" s="1" t="s">
        <v>5978</v>
      </c>
      <c r="M2519" t="s">
        <v>265</v>
      </c>
      <c r="N2519">
        <v>2</v>
      </c>
    </row>
    <row r="2520" spans="1:14" x14ac:dyDescent="0.25">
      <c r="A2520" s="3" t="str">
        <f>HYPERLINK("http://www.ncbi.nlm.nih.gov/gene/11222","11222")</f>
        <v>11222</v>
      </c>
      <c r="B2520" s="1" t="s">
        <v>5980</v>
      </c>
      <c r="C2520" t="s">
        <v>5981</v>
      </c>
      <c r="D2520">
        <v>76.2</v>
      </c>
      <c r="E2520">
        <v>76.099999999999994</v>
      </c>
      <c r="F2520">
        <v>93.2</v>
      </c>
      <c r="G2520">
        <v>87.2</v>
      </c>
      <c r="H2520">
        <v>127</v>
      </c>
      <c r="I2520">
        <v>130.19999999999999</v>
      </c>
      <c r="J2520">
        <v>100</v>
      </c>
      <c r="K2520">
        <v>100</v>
      </c>
      <c r="L2520" s="1" t="s">
        <v>5980</v>
      </c>
      <c r="M2520" t="s">
        <v>766</v>
      </c>
      <c r="N2520">
        <v>3</v>
      </c>
    </row>
    <row r="2521" spans="1:14" x14ac:dyDescent="0.25">
      <c r="A2521" s="3" t="str">
        <f>HYPERLINK("http://www.ncbi.nlm.nih.gov/gene/64976","64976")</f>
        <v>64976</v>
      </c>
      <c r="B2521" s="1" t="s">
        <v>5982</v>
      </c>
      <c r="C2521" t="s">
        <v>5983</v>
      </c>
      <c r="D2521">
        <v>92.1</v>
      </c>
      <c r="E2521">
        <v>94</v>
      </c>
      <c r="F2521">
        <v>99.9</v>
      </c>
      <c r="G2521">
        <v>96.1</v>
      </c>
      <c r="H2521">
        <v>123.4</v>
      </c>
      <c r="I2521">
        <v>126.4</v>
      </c>
      <c r="J2521">
        <v>100</v>
      </c>
      <c r="K2521">
        <v>100</v>
      </c>
      <c r="L2521" s="1" t="s">
        <v>5982</v>
      </c>
      <c r="M2521" t="s">
        <v>265</v>
      </c>
      <c r="N2521">
        <v>2</v>
      </c>
    </row>
    <row r="2522" spans="1:14" x14ac:dyDescent="0.25">
      <c r="A2522" s="3" t="str">
        <f>HYPERLINK("http://www.ncbi.nlm.nih.gov/gene/65080","65080")</f>
        <v>65080</v>
      </c>
      <c r="B2522" s="1" t="s">
        <v>5984</v>
      </c>
      <c r="C2522" t="s">
        <v>5985</v>
      </c>
      <c r="D2522">
        <v>141.69999999999999</v>
      </c>
      <c r="E2522">
        <v>140</v>
      </c>
      <c r="F2522">
        <v>99.9</v>
      </c>
      <c r="G2522">
        <v>98.7</v>
      </c>
      <c r="H2522">
        <v>136.9</v>
      </c>
      <c r="I2522">
        <v>140</v>
      </c>
      <c r="J2522">
        <v>100</v>
      </c>
      <c r="K2522">
        <v>100</v>
      </c>
      <c r="L2522" s="1" t="s">
        <v>5984</v>
      </c>
      <c r="M2522" t="s">
        <v>2287</v>
      </c>
      <c r="N2522">
        <v>4</v>
      </c>
    </row>
    <row r="2523" spans="1:14" x14ac:dyDescent="0.25">
      <c r="A2523" s="3" t="str">
        <f>HYPERLINK("http://www.ncbi.nlm.nih.gov/gene/78988","78988")</f>
        <v>78988</v>
      </c>
      <c r="B2523" s="1" t="s">
        <v>5986</v>
      </c>
      <c r="C2523" t="s">
        <v>5987</v>
      </c>
      <c r="D2523">
        <v>152</v>
      </c>
      <c r="E2523">
        <v>168.3</v>
      </c>
      <c r="F2523">
        <v>100</v>
      </c>
      <c r="G2523">
        <v>99.8</v>
      </c>
      <c r="H2523">
        <v>123.6</v>
      </c>
      <c r="I2523">
        <v>128.80000000000001</v>
      </c>
      <c r="J2523">
        <v>100</v>
      </c>
      <c r="K2523">
        <v>100</v>
      </c>
      <c r="L2523" s="1" t="s">
        <v>5986</v>
      </c>
      <c r="M2523" t="s">
        <v>265</v>
      </c>
      <c r="N2523">
        <v>2</v>
      </c>
    </row>
    <row r="2524" spans="1:14" x14ac:dyDescent="0.25">
      <c r="A2524" s="3" t="str">
        <f>HYPERLINK("http://www.ncbi.nlm.nih.gov/gene/63931","63931")</f>
        <v>63931</v>
      </c>
      <c r="B2524" s="1" t="s">
        <v>5988</v>
      </c>
      <c r="C2524" t="s">
        <v>5989</v>
      </c>
      <c r="D2524">
        <v>193.7</v>
      </c>
      <c r="E2524">
        <v>208.4</v>
      </c>
      <c r="F2524">
        <v>100</v>
      </c>
      <c r="G2524">
        <v>100</v>
      </c>
      <c r="H2524">
        <v>148.69999999999999</v>
      </c>
      <c r="I2524">
        <v>152.9</v>
      </c>
      <c r="J2524">
        <v>100</v>
      </c>
      <c r="K2524">
        <v>100</v>
      </c>
      <c r="L2524" s="1" t="s">
        <v>5988</v>
      </c>
      <c r="M2524" t="s">
        <v>766</v>
      </c>
      <c r="N2524">
        <v>3</v>
      </c>
    </row>
    <row r="2525" spans="1:14" x14ac:dyDescent="0.25">
      <c r="A2525" s="3" t="str">
        <f>HYPERLINK("http://www.ncbi.nlm.nih.gov/gene/51021","51021")</f>
        <v>51021</v>
      </c>
      <c r="B2525" s="1" t="s">
        <v>5990</v>
      </c>
      <c r="C2525" t="s">
        <v>5991</v>
      </c>
      <c r="D2525">
        <v>140.9</v>
      </c>
      <c r="E2525">
        <v>151.30000000000001</v>
      </c>
      <c r="F2525">
        <v>100</v>
      </c>
      <c r="G2525">
        <v>99.6</v>
      </c>
      <c r="H2525">
        <v>142.6</v>
      </c>
      <c r="I2525">
        <v>147.30000000000001</v>
      </c>
      <c r="J2525">
        <v>100</v>
      </c>
      <c r="K2525">
        <v>100</v>
      </c>
      <c r="L2525" s="1" t="s">
        <v>5990</v>
      </c>
      <c r="M2525" t="s">
        <v>766</v>
      </c>
      <c r="N2525">
        <v>3</v>
      </c>
    </row>
    <row r="2526" spans="1:14" x14ac:dyDescent="0.25">
      <c r="A2526" s="3" t="str">
        <f>HYPERLINK("http://www.ncbi.nlm.nih.gov/gene/51116","51116")</f>
        <v>51116</v>
      </c>
      <c r="B2526" s="1" t="s">
        <v>5992</v>
      </c>
      <c r="C2526" t="s">
        <v>5993</v>
      </c>
      <c r="D2526">
        <v>184.8</v>
      </c>
      <c r="E2526">
        <v>167.5</v>
      </c>
      <c r="F2526">
        <v>99.6</v>
      </c>
      <c r="G2526">
        <v>96.9</v>
      </c>
      <c r="H2526">
        <v>146.30000000000001</v>
      </c>
      <c r="I2526">
        <v>144.1</v>
      </c>
      <c r="J2526">
        <v>100</v>
      </c>
      <c r="K2526">
        <v>100</v>
      </c>
      <c r="L2526" s="1" t="s">
        <v>5992</v>
      </c>
      <c r="M2526" t="s">
        <v>766</v>
      </c>
      <c r="N2526">
        <v>3</v>
      </c>
    </row>
    <row r="2527" spans="1:14" x14ac:dyDescent="0.25">
      <c r="A2527" s="3" t="str">
        <f>HYPERLINK("http://www.ncbi.nlm.nih.gov/gene/56945","56945")</f>
        <v>56945</v>
      </c>
      <c r="B2527" s="1" t="s">
        <v>5994</v>
      </c>
      <c r="C2527" t="s">
        <v>5995</v>
      </c>
      <c r="D2527">
        <v>146.4</v>
      </c>
      <c r="E2527">
        <v>153.4</v>
      </c>
      <c r="F2527">
        <v>99.8</v>
      </c>
      <c r="G2527">
        <v>99.1</v>
      </c>
      <c r="H2527">
        <v>131.9</v>
      </c>
      <c r="I2527">
        <v>135.9</v>
      </c>
      <c r="J2527">
        <v>100</v>
      </c>
      <c r="K2527">
        <v>100</v>
      </c>
      <c r="L2527" s="1" t="s">
        <v>5994</v>
      </c>
      <c r="M2527" t="s">
        <v>830</v>
      </c>
      <c r="N2527">
        <v>4</v>
      </c>
    </row>
    <row r="2528" spans="1:14" x14ac:dyDescent="0.25">
      <c r="A2528" s="3" t="str">
        <f>HYPERLINK("http://www.ncbi.nlm.nih.gov/gene/51649","51649")</f>
        <v>51649</v>
      </c>
      <c r="B2528" s="1" t="s">
        <v>5996</v>
      </c>
      <c r="C2528" t="s">
        <v>5997</v>
      </c>
      <c r="D2528">
        <v>146.9</v>
      </c>
      <c r="E2528">
        <v>158.30000000000001</v>
      </c>
      <c r="F2528">
        <v>100</v>
      </c>
      <c r="G2528">
        <v>99.6</v>
      </c>
      <c r="H2528">
        <v>150</v>
      </c>
      <c r="I2528">
        <v>153.69999999999999</v>
      </c>
      <c r="J2528">
        <v>100</v>
      </c>
      <c r="K2528">
        <v>100</v>
      </c>
      <c r="L2528" s="1" t="s">
        <v>5996</v>
      </c>
      <c r="M2528" t="s">
        <v>265</v>
      </c>
      <c r="N2528">
        <v>2</v>
      </c>
    </row>
    <row r="2529" spans="1:14" x14ac:dyDescent="0.25">
      <c r="A2529" s="3" t="str">
        <f>HYPERLINK("http://www.ncbi.nlm.nih.gov/gene/64432","64432")</f>
        <v>64432</v>
      </c>
      <c r="B2529" s="1" t="s">
        <v>5998</v>
      </c>
      <c r="C2529" t="s">
        <v>5999</v>
      </c>
      <c r="D2529">
        <v>142.69999999999999</v>
      </c>
      <c r="E2529">
        <v>146.9</v>
      </c>
      <c r="F2529">
        <v>100</v>
      </c>
      <c r="G2529">
        <v>99.9</v>
      </c>
      <c r="H2529">
        <v>100.8</v>
      </c>
      <c r="I2529">
        <v>104.4</v>
      </c>
      <c r="J2529">
        <v>82.7</v>
      </c>
      <c r="K2529">
        <v>82.7</v>
      </c>
      <c r="L2529" s="1" t="s">
        <v>5998</v>
      </c>
      <c r="M2529" t="s">
        <v>265</v>
      </c>
      <c r="N2529">
        <v>2</v>
      </c>
    </row>
    <row r="2530" spans="1:14" x14ac:dyDescent="0.25">
      <c r="A2530" s="3" t="str">
        <f>HYPERLINK("http://www.ncbi.nlm.nih.gov/gene/28957","28957")</f>
        <v>28957</v>
      </c>
      <c r="B2530" s="1" t="s">
        <v>6000</v>
      </c>
      <c r="C2530" t="s">
        <v>6001</v>
      </c>
      <c r="D2530">
        <v>152</v>
      </c>
      <c r="E2530">
        <v>158.69999999999999</v>
      </c>
      <c r="F2530">
        <v>89.9</v>
      </c>
      <c r="G2530">
        <v>86.8</v>
      </c>
      <c r="H2530">
        <v>121.1</v>
      </c>
      <c r="I2530">
        <v>125.5</v>
      </c>
      <c r="J2530">
        <v>86.6</v>
      </c>
      <c r="K2530">
        <v>86.6</v>
      </c>
      <c r="L2530" s="1" t="s">
        <v>6000</v>
      </c>
      <c r="M2530" t="s">
        <v>265</v>
      </c>
      <c r="N2530">
        <v>2</v>
      </c>
    </row>
    <row r="2531" spans="1:14" x14ac:dyDescent="0.25">
      <c r="A2531" s="3" t="str">
        <f>HYPERLINK("http://www.ncbi.nlm.nih.gov/gene/65993","65993")</f>
        <v>65993</v>
      </c>
      <c r="B2531" s="1" t="s">
        <v>6002</v>
      </c>
      <c r="C2531" t="s">
        <v>6003</v>
      </c>
      <c r="D2531">
        <v>128.9</v>
      </c>
      <c r="E2531">
        <v>133.80000000000001</v>
      </c>
      <c r="F2531">
        <v>97.6</v>
      </c>
      <c r="G2531">
        <v>92</v>
      </c>
      <c r="H2531">
        <v>139.19999999999999</v>
      </c>
      <c r="I2531">
        <v>142.5</v>
      </c>
      <c r="J2531">
        <v>100</v>
      </c>
      <c r="K2531">
        <v>100</v>
      </c>
      <c r="L2531" s="1" t="s">
        <v>6002</v>
      </c>
      <c r="M2531" t="s">
        <v>766</v>
      </c>
      <c r="N2531">
        <v>3</v>
      </c>
    </row>
    <row r="2532" spans="1:14" x14ac:dyDescent="0.25">
      <c r="A2532" s="3" t="str">
        <f>HYPERLINK("http://www.ncbi.nlm.nih.gov/gene/92259","92259")</f>
        <v>92259</v>
      </c>
      <c r="B2532" s="1" t="s">
        <v>6004</v>
      </c>
      <c r="C2532" t="s">
        <v>6005</v>
      </c>
      <c r="D2532">
        <v>73.599999999999994</v>
      </c>
      <c r="E2532">
        <v>69.7</v>
      </c>
      <c r="F2532">
        <v>95.2</v>
      </c>
      <c r="G2532">
        <v>77.599999999999994</v>
      </c>
      <c r="H2532">
        <v>152.69999999999999</v>
      </c>
      <c r="I2532">
        <v>156.4</v>
      </c>
      <c r="J2532">
        <v>100</v>
      </c>
      <c r="K2532">
        <v>100</v>
      </c>
      <c r="L2532" s="1" t="s">
        <v>6004</v>
      </c>
      <c r="M2532" t="s">
        <v>2188</v>
      </c>
      <c r="N2532">
        <v>3</v>
      </c>
    </row>
    <row r="2533" spans="1:14" x14ac:dyDescent="0.25">
      <c r="A2533" s="3" t="str">
        <f>HYPERLINK("http://www.ncbi.nlm.nih.gov/gene/51081","51081")</f>
        <v>51081</v>
      </c>
      <c r="B2533" s="1" t="s">
        <v>6006</v>
      </c>
      <c r="C2533" t="s">
        <v>6007</v>
      </c>
      <c r="D2533">
        <v>162</v>
      </c>
      <c r="E2533">
        <v>167.3</v>
      </c>
      <c r="F2533">
        <v>100</v>
      </c>
      <c r="G2533">
        <v>100</v>
      </c>
      <c r="H2533">
        <v>133</v>
      </c>
      <c r="I2533">
        <v>136.1</v>
      </c>
      <c r="J2533">
        <v>100</v>
      </c>
      <c r="K2533">
        <v>100</v>
      </c>
      <c r="L2533" s="1" t="s">
        <v>6006</v>
      </c>
      <c r="M2533" t="s">
        <v>766</v>
      </c>
      <c r="N2533">
        <v>3</v>
      </c>
    </row>
    <row r="2534" spans="1:14" x14ac:dyDescent="0.25">
      <c r="A2534" s="3" t="str">
        <f>HYPERLINK("http://www.ncbi.nlm.nih.gov/gene/92399","92399")</f>
        <v>92399</v>
      </c>
      <c r="B2534" s="1" t="s">
        <v>6008</v>
      </c>
      <c r="C2534" t="s">
        <v>6009</v>
      </c>
      <c r="D2534">
        <v>157.19999999999999</v>
      </c>
      <c r="E2534">
        <v>161.6</v>
      </c>
      <c r="F2534">
        <v>100</v>
      </c>
      <c r="G2534">
        <v>100</v>
      </c>
      <c r="H2534">
        <v>128.80000000000001</v>
      </c>
      <c r="I2534">
        <v>133.1</v>
      </c>
      <c r="J2534">
        <v>100</v>
      </c>
      <c r="K2534">
        <v>100</v>
      </c>
      <c r="L2534" s="1" t="s">
        <v>6008</v>
      </c>
      <c r="M2534" t="s">
        <v>265</v>
      </c>
      <c r="N2534">
        <v>2</v>
      </c>
    </row>
    <row r="2535" spans="1:14" x14ac:dyDescent="0.25">
      <c r="A2535" s="3" t="str">
        <f>HYPERLINK("http://www.ncbi.nlm.nih.gov/gene/57591","57591")</f>
        <v>57591</v>
      </c>
      <c r="B2535" s="1" t="s">
        <v>6010</v>
      </c>
      <c r="C2535" t="s">
        <v>6011</v>
      </c>
      <c r="D2535">
        <v>105</v>
      </c>
      <c r="E2535">
        <v>106.5</v>
      </c>
      <c r="F2535">
        <v>91.4</v>
      </c>
      <c r="G2535">
        <v>90.2</v>
      </c>
      <c r="H2535">
        <v>132.4</v>
      </c>
      <c r="I2535">
        <v>134.5</v>
      </c>
      <c r="J2535">
        <v>92.8</v>
      </c>
      <c r="K2535">
        <v>92.8</v>
      </c>
      <c r="L2535" s="1" t="s">
        <v>6010</v>
      </c>
      <c r="M2535" t="s">
        <v>3481</v>
      </c>
      <c r="N2535">
        <v>2</v>
      </c>
    </row>
    <row r="2536" spans="1:14" x14ac:dyDescent="0.25">
      <c r="A2536" s="3" t="str">
        <f>HYPERLINK("http://www.ncbi.nlm.nih.gov/gene/931","931")</f>
        <v>931</v>
      </c>
      <c r="B2536" s="1" t="s">
        <v>6012</v>
      </c>
      <c r="C2536" t="s">
        <v>6013</v>
      </c>
      <c r="D2536">
        <v>131.80000000000001</v>
      </c>
      <c r="E2536">
        <v>140.80000000000001</v>
      </c>
      <c r="F2536">
        <v>99.8</v>
      </c>
      <c r="G2536">
        <v>98.8</v>
      </c>
      <c r="H2536">
        <v>128.30000000000001</v>
      </c>
      <c r="I2536">
        <v>131.5</v>
      </c>
      <c r="J2536">
        <v>100</v>
      </c>
      <c r="K2536">
        <v>100</v>
      </c>
      <c r="L2536" s="1" t="s">
        <v>6012</v>
      </c>
      <c r="M2536" t="s">
        <v>6014</v>
      </c>
      <c r="N2536">
        <v>4</v>
      </c>
    </row>
    <row r="2537" spans="1:14" x14ac:dyDescent="0.25">
      <c r="A2537" s="3" t="str">
        <f>HYPERLINK("http://www.ncbi.nlm.nih.gov/gene/4436","4436")</f>
        <v>4436</v>
      </c>
      <c r="B2537" s="1" t="s">
        <v>6015</v>
      </c>
      <c r="C2537" t="s">
        <v>6016</v>
      </c>
      <c r="D2537">
        <v>134.30000000000001</v>
      </c>
      <c r="E2537">
        <v>141.4</v>
      </c>
      <c r="F2537">
        <v>99</v>
      </c>
      <c r="G2537">
        <v>96.9</v>
      </c>
      <c r="H2537">
        <v>124.4</v>
      </c>
      <c r="I2537">
        <v>128.69999999999999</v>
      </c>
      <c r="J2537">
        <v>100</v>
      </c>
      <c r="K2537">
        <v>100</v>
      </c>
      <c r="L2537" s="1" t="s">
        <v>6015</v>
      </c>
      <c r="M2537" t="s">
        <v>6017</v>
      </c>
      <c r="N2537">
        <v>5</v>
      </c>
    </row>
    <row r="2538" spans="1:14" x14ac:dyDescent="0.25">
      <c r="A2538" s="3" t="str">
        <f>HYPERLINK("http://www.ncbi.nlm.nih.gov/gene/4437","4437")</f>
        <v>4437</v>
      </c>
      <c r="B2538" s="1" t="s">
        <v>6018</v>
      </c>
      <c r="C2538" t="s">
        <v>6019</v>
      </c>
      <c r="D2538">
        <v>152.6</v>
      </c>
      <c r="E2538">
        <v>160</v>
      </c>
      <c r="F2538">
        <v>98</v>
      </c>
      <c r="G2538">
        <v>97.3</v>
      </c>
      <c r="H2538">
        <v>122.1</v>
      </c>
      <c r="I2538">
        <v>125.5</v>
      </c>
      <c r="J2538">
        <v>98</v>
      </c>
      <c r="K2538">
        <v>98</v>
      </c>
      <c r="L2538" s="1" t="s">
        <v>6018</v>
      </c>
      <c r="M2538" t="s">
        <v>6020</v>
      </c>
      <c r="N2538">
        <v>3</v>
      </c>
    </row>
    <row r="2539" spans="1:14" x14ac:dyDescent="0.25">
      <c r="A2539" s="3" t="str">
        <f>HYPERLINK("http://www.ncbi.nlm.nih.gov/gene/4439","4439")</f>
        <v>4439</v>
      </c>
      <c r="B2539" s="1" t="s">
        <v>6021</v>
      </c>
      <c r="C2539" t="s">
        <v>6022</v>
      </c>
      <c r="D2539">
        <v>112.4</v>
      </c>
      <c r="E2539">
        <v>113.7</v>
      </c>
      <c r="F2539">
        <v>100</v>
      </c>
      <c r="G2539">
        <v>100</v>
      </c>
      <c r="H2539">
        <v>191</v>
      </c>
      <c r="I2539">
        <v>195.5</v>
      </c>
      <c r="J2539">
        <v>100</v>
      </c>
      <c r="K2539">
        <v>100</v>
      </c>
      <c r="L2539" s="1" t="s">
        <v>6021</v>
      </c>
      <c r="M2539" t="s">
        <v>59</v>
      </c>
      <c r="N2539">
        <v>1</v>
      </c>
    </row>
    <row r="2540" spans="1:14" x14ac:dyDescent="0.25">
      <c r="A2540" s="3" t="str">
        <f>HYPERLINK("http://www.ncbi.nlm.nih.gov/gene/2956","2956")</f>
        <v>2956</v>
      </c>
      <c r="B2540" s="1" t="s">
        <v>6023</v>
      </c>
      <c r="C2540" t="s">
        <v>6024</v>
      </c>
      <c r="D2540">
        <v>183.4</v>
      </c>
      <c r="E2540">
        <v>179.9</v>
      </c>
      <c r="F2540">
        <v>100</v>
      </c>
      <c r="G2540">
        <v>99.8</v>
      </c>
      <c r="H2540">
        <v>140.6</v>
      </c>
      <c r="I2540">
        <v>143</v>
      </c>
      <c r="J2540">
        <v>100</v>
      </c>
      <c r="K2540">
        <v>100</v>
      </c>
      <c r="L2540" s="1" t="s">
        <v>6023</v>
      </c>
      <c r="M2540" t="s">
        <v>6025</v>
      </c>
      <c r="N2540">
        <v>4</v>
      </c>
    </row>
    <row r="2541" spans="1:14" x14ac:dyDescent="0.25">
      <c r="A2541" s="3" t="str">
        <f>HYPERLINK("http://www.ncbi.nlm.nih.gov/gene/10943","10943")</f>
        <v>10943</v>
      </c>
      <c r="B2541" s="1" t="s">
        <v>6026</v>
      </c>
      <c r="C2541" t="s">
        <v>6027</v>
      </c>
      <c r="D2541">
        <v>78.3</v>
      </c>
      <c r="E2541">
        <v>79.599999999999994</v>
      </c>
      <c r="F2541">
        <v>84.5</v>
      </c>
      <c r="G2541">
        <v>77.400000000000006</v>
      </c>
      <c r="H2541">
        <v>119.4</v>
      </c>
      <c r="I2541">
        <v>123</v>
      </c>
      <c r="J2541">
        <v>96.8</v>
      </c>
      <c r="K2541">
        <v>96.6</v>
      </c>
      <c r="L2541" s="1" t="s">
        <v>6026</v>
      </c>
      <c r="M2541" t="s">
        <v>6028</v>
      </c>
      <c r="N2541">
        <v>2</v>
      </c>
    </row>
    <row r="2542" spans="1:14" x14ac:dyDescent="0.25">
      <c r="A2542" s="3" t="str">
        <f>HYPERLINK("http://www.ncbi.nlm.nih.gov/gene/6307","6307")</f>
        <v>6307</v>
      </c>
      <c r="B2542" s="1" t="s">
        <v>6029</v>
      </c>
      <c r="C2542" t="s">
        <v>6030</v>
      </c>
      <c r="D2542">
        <v>54.4</v>
      </c>
      <c r="E2542">
        <v>57</v>
      </c>
      <c r="F2542">
        <v>96.3</v>
      </c>
      <c r="G2542">
        <v>88.9</v>
      </c>
      <c r="H2542">
        <v>139</v>
      </c>
      <c r="I2542">
        <v>144</v>
      </c>
      <c r="J2542">
        <v>100</v>
      </c>
      <c r="K2542">
        <v>100</v>
      </c>
      <c r="L2542" s="1" t="s">
        <v>6029</v>
      </c>
      <c r="M2542" t="s">
        <v>38</v>
      </c>
      <c r="N2542">
        <v>4</v>
      </c>
    </row>
    <row r="2543" spans="1:14" x14ac:dyDescent="0.25">
      <c r="A2543" s="3" t="str">
        <f>HYPERLINK("http://www.ncbi.nlm.nih.gov/gene/4478","4478")</f>
        <v>4478</v>
      </c>
      <c r="B2543" s="1" t="s">
        <v>6031</v>
      </c>
      <c r="C2543" t="s">
        <v>6032</v>
      </c>
      <c r="D2543">
        <v>80.5</v>
      </c>
      <c r="E2543">
        <v>80.900000000000006</v>
      </c>
      <c r="F2543">
        <v>99</v>
      </c>
      <c r="G2543">
        <v>95.7</v>
      </c>
      <c r="H2543">
        <v>125.9</v>
      </c>
      <c r="I2543">
        <v>129.6</v>
      </c>
      <c r="J2543">
        <v>100</v>
      </c>
      <c r="K2543">
        <v>100</v>
      </c>
      <c r="L2543" s="1" t="s">
        <v>6031</v>
      </c>
      <c r="M2543" t="s">
        <v>6033</v>
      </c>
      <c r="N2543">
        <v>2</v>
      </c>
    </row>
    <row r="2544" spans="1:14" x14ac:dyDescent="0.25">
      <c r="A2544" s="3" t="str">
        <f>HYPERLINK("http://www.ncbi.nlm.nih.gov/gene/4481","4481")</f>
        <v>4481</v>
      </c>
      <c r="B2544" s="1" t="s">
        <v>6034</v>
      </c>
      <c r="C2544" t="s">
        <v>6035</v>
      </c>
      <c r="D2544">
        <v>166.7</v>
      </c>
      <c r="E2544">
        <v>175.9</v>
      </c>
      <c r="F2544">
        <v>99.9</v>
      </c>
      <c r="G2544">
        <v>99.5</v>
      </c>
      <c r="H2544">
        <v>152.6</v>
      </c>
      <c r="I2544">
        <v>156.5</v>
      </c>
      <c r="J2544">
        <v>100</v>
      </c>
      <c r="K2544">
        <v>100</v>
      </c>
      <c r="L2544" s="1" t="s">
        <v>6034</v>
      </c>
      <c r="M2544" t="s">
        <v>22</v>
      </c>
      <c r="N2544">
        <v>1</v>
      </c>
    </row>
    <row r="2545" spans="1:14" x14ac:dyDescent="0.25">
      <c r="A2545" s="3" t="str">
        <f>HYPERLINK("http://www.ncbi.nlm.nih.gov/gene/253827","253827")</f>
        <v>253827</v>
      </c>
      <c r="B2545" s="1" t="s">
        <v>6036</v>
      </c>
      <c r="C2545" t="s">
        <v>6037</v>
      </c>
      <c r="D2545">
        <v>144.9</v>
      </c>
      <c r="E2545">
        <v>151.5</v>
      </c>
      <c r="F2545">
        <v>100</v>
      </c>
      <c r="G2545">
        <v>99.4</v>
      </c>
      <c r="H2545">
        <v>134.1</v>
      </c>
      <c r="I2545">
        <v>136.80000000000001</v>
      </c>
      <c r="J2545">
        <v>100</v>
      </c>
      <c r="K2545">
        <v>100</v>
      </c>
      <c r="L2545" s="1" t="s">
        <v>6036</v>
      </c>
      <c r="M2545" t="s">
        <v>269</v>
      </c>
      <c r="N2545">
        <v>3</v>
      </c>
    </row>
    <row r="2546" spans="1:14" x14ac:dyDescent="0.25">
      <c r="A2546" s="3" t="str">
        <f>HYPERLINK("http://www.ncbi.nlm.nih.gov/gene/2660","2660")</f>
        <v>2660</v>
      </c>
      <c r="B2546" s="1" t="s">
        <v>6038</v>
      </c>
      <c r="C2546" t="s">
        <v>6039</v>
      </c>
      <c r="D2546">
        <v>194.8</v>
      </c>
      <c r="E2546">
        <v>203.2</v>
      </c>
      <c r="F2546">
        <v>100</v>
      </c>
      <c r="G2546">
        <v>100</v>
      </c>
      <c r="H2546">
        <v>122.3</v>
      </c>
      <c r="I2546">
        <v>124.6</v>
      </c>
      <c r="J2546">
        <v>100</v>
      </c>
      <c r="K2546">
        <v>100</v>
      </c>
      <c r="L2546" s="1" t="s">
        <v>6038</v>
      </c>
      <c r="M2546" t="s">
        <v>6040</v>
      </c>
      <c r="N2546">
        <v>2</v>
      </c>
    </row>
    <row r="2547" spans="1:14" x14ac:dyDescent="0.25">
      <c r="A2547" s="3" t="str">
        <f>HYPERLINK("http://www.ncbi.nlm.nih.gov/gene/55154","55154")</f>
        <v>55154</v>
      </c>
      <c r="B2547" s="1" t="s">
        <v>6041</v>
      </c>
      <c r="C2547" t="s">
        <v>6042</v>
      </c>
      <c r="D2547">
        <v>119.5</v>
      </c>
      <c r="E2547">
        <v>119.3</v>
      </c>
      <c r="F2547">
        <v>99.6</v>
      </c>
      <c r="G2547">
        <v>96.8</v>
      </c>
      <c r="H2547">
        <v>149.69999999999999</v>
      </c>
      <c r="I2547">
        <v>153.30000000000001</v>
      </c>
      <c r="J2547">
        <v>100</v>
      </c>
      <c r="K2547">
        <v>100</v>
      </c>
      <c r="L2547" s="1" t="s">
        <v>6041</v>
      </c>
      <c r="M2547" t="s">
        <v>6043</v>
      </c>
      <c r="N2547">
        <v>3</v>
      </c>
    </row>
    <row r="2548" spans="1:14" x14ac:dyDescent="0.25">
      <c r="A2548" s="3" t="str">
        <f>HYPERLINK("http://www.ncbi.nlm.nih.gov/gene/4487","4487")</f>
        <v>4487</v>
      </c>
      <c r="B2548" s="1" t="s">
        <v>6044</v>
      </c>
      <c r="C2548" t="s">
        <v>6045</v>
      </c>
      <c r="D2548">
        <v>125.8</v>
      </c>
      <c r="E2548">
        <v>96.5</v>
      </c>
      <c r="F2548">
        <v>96.9</v>
      </c>
      <c r="G2548">
        <v>89.3</v>
      </c>
      <c r="H2548">
        <v>147.69999999999999</v>
      </c>
      <c r="I2548">
        <v>153.69999999999999</v>
      </c>
      <c r="J2548">
        <v>100</v>
      </c>
      <c r="K2548">
        <v>100</v>
      </c>
      <c r="L2548" s="1" t="s">
        <v>6044</v>
      </c>
      <c r="M2548" t="s">
        <v>6046</v>
      </c>
      <c r="N2548">
        <v>4</v>
      </c>
    </row>
    <row r="2549" spans="1:14" x14ac:dyDescent="0.25">
      <c r="A2549" s="3" t="str">
        <f>HYPERLINK("http://www.ncbi.nlm.nih.gov/gene/4488","4488")</f>
        <v>4488</v>
      </c>
      <c r="B2549" s="1" t="s">
        <v>6047</v>
      </c>
      <c r="C2549" t="s">
        <v>6048</v>
      </c>
      <c r="D2549">
        <v>114.1</v>
      </c>
      <c r="E2549">
        <v>90.4</v>
      </c>
      <c r="F2549">
        <v>100</v>
      </c>
      <c r="G2549">
        <v>99.4</v>
      </c>
      <c r="H2549">
        <v>146.9</v>
      </c>
      <c r="I2549">
        <v>146.69999999999999</v>
      </c>
      <c r="J2549">
        <v>100</v>
      </c>
      <c r="K2549">
        <v>100</v>
      </c>
      <c r="L2549" s="1" t="s">
        <v>6047</v>
      </c>
      <c r="M2549" t="s">
        <v>3241</v>
      </c>
      <c r="N2549">
        <v>3</v>
      </c>
    </row>
    <row r="2550" spans="1:14" x14ac:dyDescent="0.25">
      <c r="A2550" s="3" t="str">
        <f>HYPERLINK("http://www.ncbi.nlm.nih.gov/gene/9112","9112")</f>
        <v>9112</v>
      </c>
      <c r="B2550" s="1" t="s">
        <v>6049</v>
      </c>
      <c r="D2550">
        <v>150.6</v>
      </c>
      <c r="E2550">
        <v>155.69999999999999</v>
      </c>
      <c r="F2550">
        <v>99.9</v>
      </c>
      <c r="G2550">
        <v>98.3</v>
      </c>
      <c r="H2550">
        <v>131.19999999999999</v>
      </c>
      <c r="I2550">
        <v>135.19999999999999</v>
      </c>
      <c r="J2550">
        <v>100</v>
      </c>
      <c r="K2550">
        <v>100</v>
      </c>
      <c r="L2550" s="1" t="s">
        <v>6049</v>
      </c>
      <c r="M2550" t="s">
        <v>661</v>
      </c>
      <c r="N2550">
        <v>2</v>
      </c>
    </row>
    <row r="2551" spans="1:14" x14ac:dyDescent="0.25">
      <c r="A2551" s="3" t="str">
        <f>HYPERLINK("http://www.ncbi.nlm.nih.gov/gene/4507","4507")</f>
        <v>4507</v>
      </c>
      <c r="B2551" s="1" t="s">
        <v>6050</v>
      </c>
      <c r="C2551" t="s">
        <v>6051</v>
      </c>
      <c r="D2551">
        <v>106.6</v>
      </c>
      <c r="E2551">
        <v>108.3</v>
      </c>
      <c r="F2551">
        <v>99.1</v>
      </c>
      <c r="G2551">
        <v>93.5</v>
      </c>
      <c r="H2551">
        <v>136.6</v>
      </c>
      <c r="I2551">
        <v>140</v>
      </c>
      <c r="J2551">
        <v>100</v>
      </c>
      <c r="K2551">
        <v>100</v>
      </c>
      <c r="L2551" s="1" t="s">
        <v>6050</v>
      </c>
      <c r="M2551" t="s">
        <v>1614</v>
      </c>
      <c r="N2551">
        <v>3</v>
      </c>
    </row>
    <row r="2552" spans="1:14" x14ac:dyDescent="0.25">
      <c r="A2552" s="3" t="str">
        <f>HYPERLINK("http://www.ncbi.nlm.nih.gov/gene/123263","123263")</f>
        <v>123263</v>
      </c>
      <c r="B2552" s="1" t="s">
        <v>6052</v>
      </c>
      <c r="C2552" t="s">
        <v>6053</v>
      </c>
      <c r="D2552">
        <v>161.5</v>
      </c>
      <c r="E2552">
        <v>165.4</v>
      </c>
      <c r="F2552">
        <v>100</v>
      </c>
      <c r="G2552">
        <v>99.8</v>
      </c>
      <c r="H2552">
        <v>129.19999999999999</v>
      </c>
      <c r="I2552">
        <v>133</v>
      </c>
      <c r="J2552">
        <v>100</v>
      </c>
      <c r="K2552">
        <v>100</v>
      </c>
      <c r="L2552" s="1" t="s">
        <v>6052</v>
      </c>
      <c r="M2552" t="s">
        <v>1206</v>
      </c>
      <c r="N2552">
        <v>5</v>
      </c>
    </row>
    <row r="2553" spans="1:14" x14ac:dyDescent="0.25">
      <c r="A2553" s="3" t="str">
        <f>HYPERLINK("http://www.ncbi.nlm.nih.gov/gene/4522","4522")</f>
        <v>4522</v>
      </c>
      <c r="B2553" s="1" t="s">
        <v>6054</v>
      </c>
      <c r="C2553" t="s">
        <v>6055</v>
      </c>
      <c r="D2553">
        <v>141</v>
      </c>
      <c r="E2553">
        <v>144.1</v>
      </c>
      <c r="F2553">
        <v>100</v>
      </c>
      <c r="G2553">
        <v>99.5</v>
      </c>
      <c r="H2553">
        <v>137</v>
      </c>
      <c r="I2553">
        <v>140.5</v>
      </c>
      <c r="J2553">
        <v>100</v>
      </c>
      <c r="K2553">
        <v>100</v>
      </c>
      <c r="L2553" s="1" t="s">
        <v>6054</v>
      </c>
      <c r="M2553" t="s">
        <v>4858</v>
      </c>
      <c r="N2553">
        <v>4</v>
      </c>
    </row>
    <row r="2554" spans="1:14" x14ac:dyDescent="0.25">
      <c r="A2554" s="3" t="str">
        <f>HYPERLINK("http://www.ncbi.nlm.nih.gov/gene/4524","4524")</f>
        <v>4524</v>
      </c>
      <c r="B2554" s="1" t="s">
        <v>6056</v>
      </c>
      <c r="D2554">
        <v>111.6</v>
      </c>
      <c r="E2554">
        <v>117.2</v>
      </c>
      <c r="F2554">
        <v>97.3</v>
      </c>
      <c r="G2554">
        <v>96</v>
      </c>
      <c r="H2554">
        <v>136.4</v>
      </c>
      <c r="I2554">
        <v>141.19999999999999</v>
      </c>
      <c r="J2554">
        <v>100</v>
      </c>
      <c r="K2554">
        <v>100</v>
      </c>
      <c r="L2554" s="1" t="s">
        <v>6056</v>
      </c>
      <c r="M2554" t="s">
        <v>6057</v>
      </c>
      <c r="N2554">
        <v>8</v>
      </c>
    </row>
    <row r="2555" spans="1:14" x14ac:dyDescent="0.25">
      <c r="A2555" s="3" t="str">
        <f>HYPERLINK("http://www.ncbi.nlm.nih.gov/gene/10588","10588")</f>
        <v>10588</v>
      </c>
      <c r="B2555" s="1" t="s">
        <v>6058</v>
      </c>
      <c r="C2555" t="s">
        <v>6059</v>
      </c>
      <c r="D2555">
        <v>99.8</v>
      </c>
      <c r="E2555">
        <v>103.3</v>
      </c>
      <c r="F2555">
        <v>75</v>
      </c>
      <c r="G2555">
        <v>74.900000000000006</v>
      </c>
      <c r="H2555">
        <v>134.19999999999999</v>
      </c>
      <c r="I2555">
        <v>138.9</v>
      </c>
      <c r="J2555">
        <v>100</v>
      </c>
      <c r="K2555">
        <v>100</v>
      </c>
      <c r="L2555" s="1" t="s">
        <v>6058</v>
      </c>
      <c r="M2555" t="s">
        <v>53</v>
      </c>
      <c r="N2555">
        <v>2</v>
      </c>
    </row>
    <row r="2556" spans="1:14" x14ac:dyDescent="0.25">
      <c r="A2556" s="3" t="str">
        <f>HYPERLINK("http://www.ncbi.nlm.nih.gov/gene/4534","4534")</f>
        <v>4534</v>
      </c>
      <c r="B2556" s="1" t="s">
        <v>6060</v>
      </c>
      <c r="C2556" t="s">
        <v>6061</v>
      </c>
      <c r="D2556">
        <v>91.2</v>
      </c>
      <c r="E2556">
        <v>95.6</v>
      </c>
      <c r="F2556">
        <v>99</v>
      </c>
      <c r="G2556">
        <v>93.3</v>
      </c>
      <c r="H2556">
        <v>119.5</v>
      </c>
      <c r="I2556">
        <v>122.8</v>
      </c>
      <c r="J2556">
        <v>100</v>
      </c>
      <c r="K2556">
        <v>100</v>
      </c>
      <c r="L2556" s="1" t="s">
        <v>6060</v>
      </c>
      <c r="M2556" t="s">
        <v>6062</v>
      </c>
      <c r="N2556">
        <v>5</v>
      </c>
    </row>
    <row r="2557" spans="1:14" x14ac:dyDescent="0.25">
      <c r="A2557" s="3" t="str">
        <f>HYPERLINK("http://www.ncbi.nlm.nih.gov/gene/8898","8898")</f>
        <v>8898</v>
      </c>
      <c r="B2557" s="1" t="s">
        <v>6063</v>
      </c>
      <c r="C2557" t="s">
        <v>6064</v>
      </c>
      <c r="D2557">
        <v>115.1</v>
      </c>
      <c r="E2557">
        <v>120.1</v>
      </c>
      <c r="F2557">
        <v>100</v>
      </c>
      <c r="G2557">
        <v>99</v>
      </c>
      <c r="H2557">
        <v>133.9</v>
      </c>
      <c r="I2557">
        <v>137.69999999999999</v>
      </c>
      <c r="J2557">
        <v>100</v>
      </c>
      <c r="K2557">
        <v>100</v>
      </c>
      <c r="L2557" s="1" t="s">
        <v>6063</v>
      </c>
      <c r="M2557" t="s">
        <v>6065</v>
      </c>
      <c r="N2557">
        <v>4</v>
      </c>
    </row>
    <row r="2558" spans="1:14" x14ac:dyDescent="0.25">
      <c r="A2558" s="3" t="str">
        <f>HYPERLINK("http://www.ncbi.nlm.nih.gov/gene/25821","25821")</f>
        <v>25821</v>
      </c>
      <c r="B2558" s="1" t="s">
        <v>6066</v>
      </c>
      <c r="C2558" t="s">
        <v>6067</v>
      </c>
      <c r="D2558">
        <v>156.4</v>
      </c>
      <c r="E2558">
        <v>165.3</v>
      </c>
      <c r="F2558">
        <v>91.3</v>
      </c>
      <c r="G2558">
        <v>90.4</v>
      </c>
      <c r="H2558">
        <v>122</v>
      </c>
      <c r="I2558">
        <v>126.4</v>
      </c>
      <c r="J2558">
        <v>91.6</v>
      </c>
      <c r="K2558">
        <v>91.4</v>
      </c>
      <c r="L2558" s="1" t="s">
        <v>6066</v>
      </c>
      <c r="M2558" t="s">
        <v>830</v>
      </c>
      <c r="N2558">
        <v>4</v>
      </c>
    </row>
    <row r="2559" spans="1:14" x14ac:dyDescent="0.25">
      <c r="A2559" s="3" t="str">
        <f>HYPERLINK("http://www.ncbi.nlm.nih.gov/gene/2475","2475")</f>
        <v>2475</v>
      </c>
      <c r="B2559" s="1" t="s">
        <v>6068</v>
      </c>
      <c r="C2559" t="s">
        <v>6069</v>
      </c>
      <c r="D2559">
        <v>127.9</v>
      </c>
      <c r="E2559">
        <v>131.9</v>
      </c>
      <c r="F2559">
        <v>100</v>
      </c>
      <c r="G2559">
        <v>99.5</v>
      </c>
      <c r="H2559">
        <v>133.4</v>
      </c>
      <c r="I2559">
        <v>137</v>
      </c>
      <c r="J2559">
        <v>100</v>
      </c>
      <c r="K2559">
        <v>100</v>
      </c>
      <c r="L2559" s="1" t="s">
        <v>6068</v>
      </c>
      <c r="M2559" t="s">
        <v>827</v>
      </c>
      <c r="N2559">
        <v>4</v>
      </c>
    </row>
    <row r="2560" spans="1:14" x14ac:dyDescent="0.25">
      <c r="A2560" s="3" t="str">
        <f>HYPERLINK("http://www.ncbi.nlm.nih.gov/gene/55149","55149")</f>
        <v>55149</v>
      </c>
      <c r="B2560" s="1" t="s">
        <v>6070</v>
      </c>
      <c r="C2560" t="s">
        <v>6071</v>
      </c>
      <c r="D2560">
        <v>146.19999999999999</v>
      </c>
      <c r="E2560">
        <v>151</v>
      </c>
      <c r="F2560">
        <v>99.5</v>
      </c>
      <c r="G2560">
        <v>96.1</v>
      </c>
      <c r="H2560">
        <v>132.6</v>
      </c>
      <c r="I2560">
        <v>136.1</v>
      </c>
      <c r="J2560">
        <v>100</v>
      </c>
      <c r="K2560">
        <v>100</v>
      </c>
      <c r="L2560" s="1" t="s">
        <v>6070</v>
      </c>
      <c r="M2560" t="s">
        <v>5655</v>
      </c>
      <c r="N2560">
        <v>4</v>
      </c>
    </row>
    <row r="2561" spans="1:14" x14ac:dyDescent="0.25">
      <c r="A2561" s="3" t="str">
        <f>HYPERLINK("http://www.ncbi.nlm.nih.gov/gene/4548","4548")</f>
        <v>4548</v>
      </c>
      <c r="B2561" s="1" t="s">
        <v>6072</v>
      </c>
      <c r="C2561" t="s">
        <v>6073</v>
      </c>
      <c r="D2561">
        <v>157.4</v>
      </c>
      <c r="E2561">
        <v>163.30000000000001</v>
      </c>
      <c r="F2561">
        <v>100</v>
      </c>
      <c r="G2561">
        <v>100</v>
      </c>
      <c r="H2561">
        <v>134.69999999999999</v>
      </c>
      <c r="I2561">
        <v>138.30000000000001</v>
      </c>
      <c r="J2561">
        <v>100</v>
      </c>
      <c r="K2561">
        <v>100</v>
      </c>
      <c r="L2561" s="1" t="s">
        <v>6072</v>
      </c>
      <c r="M2561" t="s">
        <v>38</v>
      </c>
      <c r="N2561">
        <v>4</v>
      </c>
    </row>
    <row r="2562" spans="1:14" x14ac:dyDescent="0.25">
      <c r="A2562" s="3" t="str">
        <f>HYPERLINK("http://www.ncbi.nlm.nih.gov/gene/91574","91574")</f>
        <v>91574</v>
      </c>
      <c r="B2562" s="1" t="s">
        <v>6074</v>
      </c>
      <c r="C2562" t="s">
        <v>6075</v>
      </c>
      <c r="D2562">
        <v>110.4</v>
      </c>
      <c r="E2562">
        <v>122.8</v>
      </c>
      <c r="F2562">
        <v>99.8</v>
      </c>
      <c r="G2562">
        <v>98.5</v>
      </c>
      <c r="H2562">
        <v>101.5</v>
      </c>
      <c r="I2562">
        <v>105</v>
      </c>
      <c r="J2562">
        <v>100</v>
      </c>
      <c r="K2562">
        <v>100</v>
      </c>
      <c r="L2562" s="1" t="s">
        <v>6076</v>
      </c>
      <c r="M2562" t="s">
        <v>6077</v>
      </c>
      <c r="N2562">
        <v>7</v>
      </c>
    </row>
    <row r="2563" spans="1:14" x14ac:dyDescent="0.25">
      <c r="A2563" s="3" t="str">
        <f>HYPERLINK("http://www.ncbi.nlm.nih.gov/gene/4552","4552")</f>
        <v>4552</v>
      </c>
      <c r="B2563" s="1" t="s">
        <v>6078</v>
      </c>
      <c r="C2563" t="s">
        <v>6079</v>
      </c>
      <c r="D2563">
        <v>149.4</v>
      </c>
      <c r="E2563">
        <v>156.80000000000001</v>
      </c>
      <c r="F2563">
        <v>100</v>
      </c>
      <c r="G2563">
        <v>99.6</v>
      </c>
      <c r="H2563">
        <v>141.80000000000001</v>
      </c>
      <c r="I2563">
        <v>146.5</v>
      </c>
      <c r="J2563">
        <v>100</v>
      </c>
      <c r="K2563">
        <v>100</v>
      </c>
      <c r="L2563" s="1" t="s">
        <v>6078</v>
      </c>
      <c r="M2563" t="s">
        <v>214</v>
      </c>
      <c r="N2563">
        <v>5</v>
      </c>
    </row>
    <row r="2564" spans="1:14" x14ac:dyDescent="0.25">
      <c r="A2564" s="3" t="str">
        <f>HYPERLINK("http://www.ncbi.nlm.nih.gov/gene/4547","4547")</f>
        <v>4547</v>
      </c>
      <c r="B2564" s="1" t="s">
        <v>6080</v>
      </c>
      <c r="C2564" t="s">
        <v>6081</v>
      </c>
      <c r="D2564">
        <v>130.5</v>
      </c>
      <c r="E2564">
        <v>134.69999999999999</v>
      </c>
      <c r="F2564">
        <v>100</v>
      </c>
      <c r="G2564">
        <v>99.6</v>
      </c>
      <c r="H2564">
        <v>137.4</v>
      </c>
      <c r="I2564">
        <v>142.1</v>
      </c>
      <c r="J2564">
        <v>100</v>
      </c>
      <c r="K2564">
        <v>100</v>
      </c>
      <c r="L2564" s="1" t="s">
        <v>6080</v>
      </c>
      <c r="M2564" t="s">
        <v>838</v>
      </c>
      <c r="N2564">
        <v>3</v>
      </c>
    </row>
    <row r="2565" spans="1:14" x14ac:dyDescent="0.25">
      <c r="A2565" s="3" t="str">
        <f>HYPERLINK("http://www.ncbi.nlm.nih.gov/gene/10651","10651")</f>
        <v>10651</v>
      </c>
      <c r="B2565" s="1" t="s">
        <v>6082</v>
      </c>
      <c r="C2565" t="s">
        <v>6083</v>
      </c>
      <c r="D2565">
        <v>128.6</v>
      </c>
      <c r="E2565">
        <v>133.6</v>
      </c>
      <c r="F2565">
        <v>98.1</v>
      </c>
      <c r="G2565">
        <v>91.5</v>
      </c>
      <c r="H2565">
        <v>116.5</v>
      </c>
      <c r="I2565">
        <v>118.7</v>
      </c>
      <c r="J2565">
        <v>100</v>
      </c>
      <c r="K2565">
        <v>100</v>
      </c>
      <c r="L2565" s="1" t="s">
        <v>6082</v>
      </c>
      <c r="M2565" t="s">
        <v>265</v>
      </c>
      <c r="N2565">
        <v>2</v>
      </c>
    </row>
    <row r="2566" spans="1:14" x14ac:dyDescent="0.25">
      <c r="A2566" s="3" t="str">
        <f>HYPERLINK("http://www.ncbi.nlm.nih.gov/gene/4582","4582")</f>
        <v>4582</v>
      </c>
      <c r="B2566" s="1" t="s">
        <v>6084</v>
      </c>
      <c r="C2566" t="s">
        <v>6085</v>
      </c>
      <c r="D2566">
        <v>83.2</v>
      </c>
      <c r="E2566">
        <v>72.400000000000006</v>
      </c>
      <c r="F2566">
        <v>92.5</v>
      </c>
      <c r="G2566">
        <v>83.6</v>
      </c>
      <c r="H2566">
        <v>435.7</v>
      </c>
      <c r="I2566">
        <v>265.10000000000002</v>
      </c>
      <c r="J2566">
        <v>100</v>
      </c>
      <c r="K2566">
        <v>99.9</v>
      </c>
      <c r="L2566" s="1" t="s">
        <v>6084</v>
      </c>
      <c r="M2566" t="s">
        <v>285</v>
      </c>
      <c r="N2566">
        <v>1</v>
      </c>
    </row>
    <row r="2567" spans="1:14" x14ac:dyDescent="0.25">
      <c r="A2567" s="3" t="str">
        <f>HYPERLINK("http://www.ncbi.nlm.nih.gov/gene/4593","4593")</f>
        <v>4593</v>
      </c>
      <c r="B2567" s="1" t="s">
        <v>6086</v>
      </c>
      <c r="C2567" t="s">
        <v>6087</v>
      </c>
      <c r="D2567">
        <v>149.5</v>
      </c>
      <c r="E2567">
        <v>155.4</v>
      </c>
      <c r="F2567">
        <v>100</v>
      </c>
      <c r="G2567">
        <v>99.9</v>
      </c>
      <c r="H2567">
        <v>140.69999999999999</v>
      </c>
      <c r="I2567">
        <v>143.80000000000001</v>
      </c>
      <c r="J2567">
        <v>100</v>
      </c>
      <c r="K2567">
        <v>100</v>
      </c>
      <c r="L2567" s="1" t="s">
        <v>6086</v>
      </c>
      <c r="M2567" t="s">
        <v>1147</v>
      </c>
      <c r="N2567">
        <v>4</v>
      </c>
    </row>
    <row r="2568" spans="1:14" x14ac:dyDescent="0.25">
      <c r="A2568" s="3" t="str">
        <f>HYPERLINK("http://www.ncbi.nlm.nih.gov/gene/4595","4595")</f>
        <v>4595</v>
      </c>
      <c r="B2568" s="1" t="s">
        <v>6088</v>
      </c>
      <c r="C2568" t="s">
        <v>6089</v>
      </c>
      <c r="D2568">
        <v>153.69999999999999</v>
      </c>
      <c r="E2568">
        <v>154.30000000000001</v>
      </c>
      <c r="F2568">
        <v>100</v>
      </c>
      <c r="G2568">
        <v>100</v>
      </c>
      <c r="H2568">
        <v>140.4</v>
      </c>
      <c r="I2568">
        <v>142.5</v>
      </c>
      <c r="J2568">
        <v>100</v>
      </c>
      <c r="K2568">
        <v>100</v>
      </c>
      <c r="L2568" s="1" t="s">
        <v>6088</v>
      </c>
      <c r="M2568" t="s">
        <v>6090</v>
      </c>
      <c r="N2568">
        <v>4</v>
      </c>
    </row>
    <row r="2569" spans="1:14" x14ac:dyDescent="0.25">
      <c r="A2569" s="3" t="str">
        <f>HYPERLINK("http://www.ncbi.nlm.nih.gov/gene/4597","4597")</f>
        <v>4597</v>
      </c>
      <c r="B2569" s="1" t="s">
        <v>6091</v>
      </c>
      <c r="C2569" t="s">
        <v>6092</v>
      </c>
      <c r="D2569">
        <v>117.5</v>
      </c>
      <c r="E2569">
        <v>122.1</v>
      </c>
      <c r="F2569">
        <v>99.9</v>
      </c>
      <c r="G2569">
        <v>98.3</v>
      </c>
      <c r="H2569">
        <v>144.1</v>
      </c>
      <c r="I2569">
        <v>147.80000000000001</v>
      </c>
      <c r="J2569">
        <v>100</v>
      </c>
      <c r="K2569">
        <v>100</v>
      </c>
      <c r="L2569" s="1" t="s">
        <v>6091</v>
      </c>
      <c r="M2569" t="s">
        <v>29</v>
      </c>
      <c r="N2569">
        <v>2</v>
      </c>
    </row>
    <row r="2570" spans="1:14" x14ac:dyDescent="0.25">
      <c r="A2570" s="3" t="str">
        <f>HYPERLINK("http://www.ncbi.nlm.nih.gov/gene/4598","4598")</f>
        <v>4598</v>
      </c>
      <c r="B2570" s="1" t="s">
        <v>6093</v>
      </c>
      <c r="C2570" t="s">
        <v>6094</v>
      </c>
      <c r="D2570">
        <v>115.3</v>
      </c>
      <c r="E2570">
        <v>120.8</v>
      </c>
      <c r="F2570">
        <v>90.9</v>
      </c>
      <c r="G2570">
        <v>90.5</v>
      </c>
      <c r="H2570">
        <v>127.5</v>
      </c>
      <c r="I2570">
        <v>130.6</v>
      </c>
      <c r="J2570">
        <v>90.5</v>
      </c>
      <c r="K2570">
        <v>90.5</v>
      </c>
      <c r="L2570" s="1" t="s">
        <v>6093</v>
      </c>
      <c r="M2570" t="s">
        <v>6095</v>
      </c>
      <c r="N2570">
        <v>7</v>
      </c>
    </row>
    <row r="2571" spans="1:14" x14ac:dyDescent="0.25">
      <c r="A2571" s="3" t="str">
        <f>HYPERLINK("http://www.ncbi.nlm.nih.gov/gene/4601","4601")</f>
        <v>4601</v>
      </c>
      <c r="B2571" s="1" t="s">
        <v>6096</v>
      </c>
      <c r="C2571" t="s">
        <v>6097</v>
      </c>
      <c r="D2571">
        <v>123.7</v>
      </c>
      <c r="E2571">
        <v>129.1</v>
      </c>
      <c r="F2571">
        <v>98.6</v>
      </c>
      <c r="G2571">
        <v>95.3</v>
      </c>
      <c r="H2571">
        <v>114</v>
      </c>
      <c r="I2571">
        <v>117.9</v>
      </c>
      <c r="J2571">
        <v>97.7</v>
      </c>
      <c r="K2571">
        <v>94.1</v>
      </c>
      <c r="L2571" s="1" t="s">
        <v>6096</v>
      </c>
      <c r="M2571" t="s">
        <v>22</v>
      </c>
      <c r="N2571">
        <v>1</v>
      </c>
    </row>
    <row r="2572" spans="1:14" x14ac:dyDescent="0.25">
      <c r="A2572" s="3" t="str">
        <f>HYPERLINK("http://www.ncbi.nlm.nih.gov/gene/4604","4604")</f>
        <v>4604</v>
      </c>
      <c r="B2572" s="1" t="s">
        <v>6098</v>
      </c>
      <c r="C2572" t="s">
        <v>6099</v>
      </c>
      <c r="D2572">
        <v>147.80000000000001</v>
      </c>
      <c r="E2572">
        <v>151.6</v>
      </c>
      <c r="F2572">
        <v>99.9</v>
      </c>
      <c r="G2572">
        <v>99.5</v>
      </c>
      <c r="H2572">
        <v>128.6</v>
      </c>
      <c r="I2572">
        <v>132.19999999999999</v>
      </c>
      <c r="J2572">
        <v>100</v>
      </c>
      <c r="K2572">
        <v>100</v>
      </c>
      <c r="L2572" s="1" t="s">
        <v>6098</v>
      </c>
      <c r="M2572" t="s">
        <v>6100</v>
      </c>
      <c r="N2572">
        <v>3</v>
      </c>
    </row>
    <row r="2573" spans="1:14" x14ac:dyDescent="0.25">
      <c r="A2573" s="3" t="str">
        <f>HYPERLINK("http://www.ncbi.nlm.nih.gov/gene/4607","4607")</f>
        <v>4607</v>
      </c>
      <c r="B2573" s="1" t="s">
        <v>6101</v>
      </c>
      <c r="C2573" t="s">
        <v>6102</v>
      </c>
      <c r="D2573">
        <v>141.19999999999999</v>
      </c>
      <c r="E2573">
        <v>147.5</v>
      </c>
      <c r="F2573">
        <v>99.9</v>
      </c>
      <c r="G2573">
        <v>97.6</v>
      </c>
      <c r="H2573">
        <v>150.5</v>
      </c>
      <c r="I2573">
        <v>154.19999999999999</v>
      </c>
      <c r="J2573">
        <v>100</v>
      </c>
      <c r="K2573">
        <v>100</v>
      </c>
      <c r="L2573" s="1" t="s">
        <v>6101</v>
      </c>
      <c r="M2573" t="s">
        <v>5165</v>
      </c>
      <c r="N2573">
        <v>2</v>
      </c>
    </row>
    <row r="2574" spans="1:14" x14ac:dyDescent="0.25">
      <c r="A2574" s="3" t="str">
        <f>HYPERLINK("http://www.ncbi.nlm.nih.gov/gene/343263","343263")</f>
        <v>343263</v>
      </c>
      <c r="B2574" s="1" t="s">
        <v>6103</v>
      </c>
      <c r="D2574">
        <v>87.2</v>
      </c>
      <c r="E2574">
        <v>91.2</v>
      </c>
      <c r="F2574">
        <v>99.9</v>
      </c>
      <c r="G2574">
        <v>98.6</v>
      </c>
      <c r="H2574">
        <v>127.7</v>
      </c>
      <c r="I2574">
        <v>131</v>
      </c>
      <c r="J2574">
        <v>100</v>
      </c>
      <c r="K2574">
        <v>100</v>
      </c>
      <c r="L2574" s="1" t="s">
        <v>6103</v>
      </c>
      <c r="M2574" t="s">
        <v>197</v>
      </c>
      <c r="N2574">
        <v>2</v>
      </c>
    </row>
    <row r="2575" spans="1:14" x14ac:dyDescent="0.25">
      <c r="A2575" s="3" t="str">
        <f>HYPERLINK("http://www.ncbi.nlm.nih.gov/gene/4609","4609")</f>
        <v>4609</v>
      </c>
      <c r="B2575" s="1" t="s">
        <v>6104</v>
      </c>
      <c r="C2575" t="s">
        <v>6105</v>
      </c>
      <c r="D2575">
        <v>154.30000000000001</v>
      </c>
      <c r="E2575">
        <v>154.1</v>
      </c>
      <c r="F2575">
        <v>65.900000000000006</v>
      </c>
      <c r="G2575">
        <v>64.400000000000006</v>
      </c>
      <c r="H2575">
        <v>155.6</v>
      </c>
      <c r="I2575">
        <v>157.9</v>
      </c>
      <c r="J2575">
        <v>100</v>
      </c>
      <c r="K2575">
        <v>100</v>
      </c>
      <c r="L2575" s="1" t="s">
        <v>6104</v>
      </c>
      <c r="M2575" t="s">
        <v>22</v>
      </c>
      <c r="N2575">
        <v>1</v>
      </c>
    </row>
    <row r="2576" spans="1:14" x14ac:dyDescent="0.25">
      <c r="A2576" s="3" t="str">
        <f>HYPERLINK("http://www.ncbi.nlm.nih.gov/gene/4613","4613")</f>
        <v>4613</v>
      </c>
      <c r="B2576" s="1" t="s">
        <v>6106</v>
      </c>
      <c r="C2576" t="s">
        <v>6107</v>
      </c>
      <c r="D2576">
        <v>163</v>
      </c>
      <c r="E2576">
        <v>140.19999999999999</v>
      </c>
      <c r="F2576">
        <v>100</v>
      </c>
      <c r="G2576">
        <v>99.9</v>
      </c>
      <c r="H2576">
        <v>125</v>
      </c>
      <c r="I2576">
        <v>115.7</v>
      </c>
      <c r="J2576">
        <v>99.3</v>
      </c>
      <c r="K2576">
        <v>96.7</v>
      </c>
      <c r="L2576" s="1" t="s">
        <v>6106</v>
      </c>
      <c r="M2576" t="s">
        <v>6108</v>
      </c>
      <c r="N2576">
        <v>4</v>
      </c>
    </row>
    <row r="2577" spans="1:14" x14ac:dyDescent="0.25">
      <c r="A2577" s="3" t="str">
        <f>HYPERLINK("http://www.ncbi.nlm.nih.gov/gene/4615","4615")</f>
        <v>4615</v>
      </c>
      <c r="B2577" s="1" t="s">
        <v>6109</v>
      </c>
      <c r="C2577" t="s">
        <v>6110</v>
      </c>
      <c r="D2577">
        <v>172.2</v>
      </c>
      <c r="E2577">
        <v>179.6</v>
      </c>
      <c r="F2577">
        <v>100</v>
      </c>
      <c r="G2577">
        <v>100</v>
      </c>
      <c r="H2577">
        <v>159.19999999999999</v>
      </c>
      <c r="I2577">
        <v>160.69999999999999</v>
      </c>
      <c r="J2577">
        <v>100</v>
      </c>
      <c r="K2577">
        <v>100</v>
      </c>
      <c r="L2577" s="1" t="s">
        <v>6109</v>
      </c>
      <c r="M2577" t="s">
        <v>1305</v>
      </c>
      <c r="N2577">
        <v>3</v>
      </c>
    </row>
    <row r="2578" spans="1:14" x14ac:dyDescent="0.25">
      <c r="A2578" s="3" t="str">
        <f>HYPERLINK("http://www.ncbi.nlm.nih.gov/gene/4617","4617")</f>
        <v>4617</v>
      </c>
      <c r="B2578" s="1" t="s">
        <v>6111</v>
      </c>
      <c r="C2578" t="s">
        <v>6112</v>
      </c>
      <c r="D2578">
        <v>178</v>
      </c>
      <c r="E2578">
        <v>167.7</v>
      </c>
      <c r="F2578">
        <v>100</v>
      </c>
      <c r="G2578">
        <v>100</v>
      </c>
      <c r="H2578">
        <v>143.69999999999999</v>
      </c>
      <c r="I2578">
        <v>146.30000000000001</v>
      </c>
      <c r="J2578">
        <v>100</v>
      </c>
      <c r="K2578">
        <v>100</v>
      </c>
      <c r="L2578" s="1" t="s">
        <v>6111</v>
      </c>
      <c r="M2578" t="s">
        <v>53</v>
      </c>
      <c r="N2578">
        <v>2</v>
      </c>
    </row>
    <row r="2579" spans="1:14" x14ac:dyDescent="0.25">
      <c r="A2579" s="3" t="str">
        <f>HYPERLINK("http://www.ncbi.nlm.nih.gov/gene/4629","4629")</f>
        <v>4629</v>
      </c>
      <c r="B2579" s="1" t="s">
        <v>6113</v>
      </c>
      <c r="C2579" t="s">
        <v>6114</v>
      </c>
      <c r="D2579">
        <v>134</v>
      </c>
      <c r="E2579">
        <v>138</v>
      </c>
      <c r="F2579">
        <v>100</v>
      </c>
      <c r="G2579">
        <v>100</v>
      </c>
      <c r="H2579">
        <v>190.9</v>
      </c>
      <c r="I2579">
        <v>196.3</v>
      </c>
      <c r="J2579">
        <v>100</v>
      </c>
      <c r="K2579">
        <v>100</v>
      </c>
      <c r="L2579" s="1" t="s">
        <v>6113</v>
      </c>
      <c r="M2579" t="s">
        <v>4371</v>
      </c>
      <c r="N2579">
        <v>4</v>
      </c>
    </row>
    <row r="2580" spans="1:14" x14ac:dyDescent="0.25">
      <c r="A2580" s="3" t="str">
        <f>HYPERLINK("http://www.ncbi.nlm.nih.gov/gene/79784","79784")</f>
        <v>79784</v>
      </c>
      <c r="B2580" s="1" t="s">
        <v>6115</v>
      </c>
      <c r="C2580" t="s">
        <v>6116</v>
      </c>
      <c r="D2580">
        <v>110.4</v>
      </c>
      <c r="E2580">
        <v>114.1</v>
      </c>
      <c r="F2580">
        <v>98.4</v>
      </c>
      <c r="G2580">
        <v>94</v>
      </c>
      <c r="H2580">
        <v>138.1</v>
      </c>
      <c r="I2580">
        <v>142.30000000000001</v>
      </c>
      <c r="J2580">
        <v>100</v>
      </c>
      <c r="K2580">
        <v>100</v>
      </c>
      <c r="L2580" s="1" t="s">
        <v>6115</v>
      </c>
      <c r="M2580" t="s">
        <v>6117</v>
      </c>
      <c r="N2580">
        <v>3</v>
      </c>
    </row>
    <row r="2581" spans="1:14" x14ac:dyDescent="0.25">
      <c r="A2581" s="3" t="str">
        <f>HYPERLINK("http://www.ncbi.nlm.nih.gov/gene/4620","4620")</f>
        <v>4620</v>
      </c>
      <c r="B2581" s="1" t="s">
        <v>6118</v>
      </c>
      <c r="C2581" t="s">
        <v>6119</v>
      </c>
      <c r="D2581">
        <v>135.19999999999999</v>
      </c>
      <c r="E2581">
        <v>130</v>
      </c>
      <c r="F2581">
        <v>99.9</v>
      </c>
      <c r="G2581">
        <v>99.4</v>
      </c>
      <c r="H2581">
        <v>191.9</v>
      </c>
      <c r="I2581">
        <v>197.7</v>
      </c>
      <c r="J2581">
        <v>100</v>
      </c>
      <c r="K2581">
        <v>100</v>
      </c>
      <c r="L2581" s="1" t="s">
        <v>6118</v>
      </c>
      <c r="M2581" t="s">
        <v>1933</v>
      </c>
      <c r="N2581">
        <v>3</v>
      </c>
    </row>
    <row r="2582" spans="1:14" x14ac:dyDescent="0.25">
      <c r="A2582" s="3" t="str">
        <f>HYPERLINK("http://www.ncbi.nlm.nih.gov/gene/4621","4621")</f>
        <v>4621</v>
      </c>
      <c r="B2582" s="1" t="s">
        <v>6120</v>
      </c>
      <c r="C2582" t="s">
        <v>6121</v>
      </c>
      <c r="D2582">
        <v>112.9</v>
      </c>
      <c r="E2582">
        <v>113.3</v>
      </c>
      <c r="F2582">
        <v>99.9</v>
      </c>
      <c r="G2582">
        <v>99</v>
      </c>
      <c r="H2582">
        <v>170.7</v>
      </c>
      <c r="I2582">
        <v>175.5</v>
      </c>
      <c r="J2582">
        <v>100</v>
      </c>
      <c r="K2582">
        <v>100</v>
      </c>
      <c r="L2582" s="1" t="s">
        <v>6120</v>
      </c>
      <c r="M2582" t="s">
        <v>6122</v>
      </c>
      <c r="N2582">
        <v>5</v>
      </c>
    </row>
    <row r="2583" spans="1:14" x14ac:dyDescent="0.25">
      <c r="A2583" s="3" t="str">
        <f>HYPERLINK("http://www.ncbi.nlm.nih.gov/gene/4624","4624")</f>
        <v>4624</v>
      </c>
      <c r="B2583" s="1" t="s">
        <v>6123</v>
      </c>
      <c r="C2583" t="s">
        <v>6124</v>
      </c>
      <c r="D2583">
        <v>107.5</v>
      </c>
      <c r="E2583">
        <v>108.4</v>
      </c>
      <c r="F2583">
        <v>99.4</v>
      </c>
      <c r="G2583">
        <v>97.1</v>
      </c>
      <c r="H2583">
        <v>183.9</v>
      </c>
      <c r="I2583">
        <v>189.7</v>
      </c>
      <c r="J2583">
        <v>100</v>
      </c>
      <c r="K2583">
        <v>100</v>
      </c>
      <c r="L2583" s="1" t="s">
        <v>6123</v>
      </c>
      <c r="M2583" t="s">
        <v>6125</v>
      </c>
      <c r="N2583">
        <v>4</v>
      </c>
    </row>
    <row r="2584" spans="1:14" x14ac:dyDescent="0.25">
      <c r="A2584" s="3" t="str">
        <f>HYPERLINK("http://www.ncbi.nlm.nih.gov/gene/4625","4625")</f>
        <v>4625</v>
      </c>
      <c r="B2584" s="1" t="s">
        <v>6126</v>
      </c>
      <c r="C2584" t="s">
        <v>6127</v>
      </c>
      <c r="D2584">
        <v>102.2</v>
      </c>
      <c r="E2584">
        <v>103.2</v>
      </c>
      <c r="F2584">
        <v>99.6</v>
      </c>
      <c r="G2584">
        <v>97.3</v>
      </c>
      <c r="H2584">
        <v>179.2</v>
      </c>
      <c r="I2584">
        <v>184.4</v>
      </c>
      <c r="J2584">
        <v>100</v>
      </c>
      <c r="K2584">
        <v>100</v>
      </c>
      <c r="L2584" s="1" t="s">
        <v>6126</v>
      </c>
      <c r="M2584" t="s">
        <v>6128</v>
      </c>
      <c r="N2584">
        <v>4</v>
      </c>
    </row>
    <row r="2585" spans="1:14" x14ac:dyDescent="0.25">
      <c r="A2585" s="3" t="str">
        <f>HYPERLINK("http://www.ncbi.nlm.nih.gov/gene/57644","57644")</f>
        <v>57644</v>
      </c>
      <c r="B2585" s="1" t="s">
        <v>6129</v>
      </c>
      <c r="C2585" t="s">
        <v>6130</v>
      </c>
      <c r="D2585">
        <v>119.9</v>
      </c>
      <c r="E2585">
        <v>120.5</v>
      </c>
      <c r="F2585">
        <v>98.4</v>
      </c>
      <c r="G2585">
        <v>94.2</v>
      </c>
      <c r="H2585">
        <v>143.4</v>
      </c>
      <c r="I2585">
        <v>146.80000000000001</v>
      </c>
      <c r="J2585">
        <v>100</v>
      </c>
      <c r="K2585">
        <v>100</v>
      </c>
      <c r="L2585" s="1" t="s">
        <v>6129</v>
      </c>
      <c r="M2585" t="s">
        <v>197</v>
      </c>
      <c r="N2585">
        <v>2</v>
      </c>
    </row>
    <row r="2586" spans="1:14" x14ac:dyDescent="0.25">
      <c r="A2586" s="3" t="str">
        <f>HYPERLINK("http://www.ncbi.nlm.nih.gov/gene/4626","4626")</f>
        <v>4626</v>
      </c>
      <c r="B2586" s="1" t="s">
        <v>6131</v>
      </c>
      <c r="C2586" t="s">
        <v>6132</v>
      </c>
      <c r="D2586">
        <v>136.80000000000001</v>
      </c>
      <c r="E2586">
        <v>136.9</v>
      </c>
      <c r="F2586">
        <v>100</v>
      </c>
      <c r="G2586">
        <v>99.6</v>
      </c>
      <c r="H2586">
        <v>189.7</v>
      </c>
      <c r="I2586">
        <v>195.6</v>
      </c>
      <c r="J2586">
        <v>100</v>
      </c>
      <c r="K2586">
        <v>100</v>
      </c>
      <c r="L2586" s="1" t="s">
        <v>6131</v>
      </c>
      <c r="M2586" t="s">
        <v>6133</v>
      </c>
      <c r="N2586">
        <v>3</v>
      </c>
    </row>
    <row r="2587" spans="1:14" x14ac:dyDescent="0.25">
      <c r="A2587" s="3" t="str">
        <f>HYPERLINK("http://www.ncbi.nlm.nih.gov/gene/4627","4627")</f>
        <v>4627</v>
      </c>
      <c r="B2587" s="1" t="s">
        <v>6134</v>
      </c>
      <c r="C2587" t="s">
        <v>6135</v>
      </c>
      <c r="D2587">
        <v>128.6</v>
      </c>
      <c r="E2587">
        <v>134.9</v>
      </c>
      <c r="F2587">
        <v>100</v>
      </c>
      <c r="G2587">
        <v>99.3</v>
      </c>
      <c r="H2587">
        <v>153</v>
      </c>
      <c r="I2587">
        <v>158.1</v>
      </c>
      <c r="J2587">
        <v>100</v>
      </c>
      <c r="K2587">
        <v>100</v>
      </c>
      <c r="L2587" s="1" t="s">
        <v>6134</v>
      </c>
      <c r="M2587" t="s">
        <v>6136</v>
      </c>
      <c r="N2587">
        <v>6</v>
      </c>
    </row>
    <row r="2588" spans="1:14" x14ac:dyDescent="0.25">
      <c r="A2588" s="3" t="str">
        <f>HYPERLINK("http://www.ncbi.nlm.nih.gov/gene/4632","4632")</f>
        <v>4632</v>
      </c>
      <c r="B2588" s="1" t="s">
        <v>6137</v>
      </c>
      <c r="C2588" t="s">
        <v>6138</v>
      </c>
      <c r="D2588">
        <v>119.2</v>
      </c>
      <c r="E2588">
        <v>121.8</v>
      </c>
      <c r="F2588">
        <v>100</v>
      </c>
      <c r="G2588">
        <v>99.7</v>
      </c>
      <c r="H2588">
        <v>135.19999999999999</v>
      </c>
      <c r="I2588">
        <v>137.9</v>
      </c>
      <c r="J2588">
        <v>100</v>
      </c>
      <c r="K2588">
        <v>100</v>
      </c>
      <c r="L2588" s="1" t="s">
        <v>6137</v>
      </c>
      <c r="M2588" t="s">
        <v>53</v>
      </c>
      <c r="N2588">
        <v>2</v>
      </c>
    </row>
    <row r="2589" spans="1:14" x14ac:dyDescent="0.25">
      <c r="A2589" s="3" t="str">
        <f>HYPERLINK("http://www.ncbi.nlm.nih.gov/gene/4633","4633")</f>
        <v>4633</v>
      </c>
      <c r="B2589" s="1" t="s">
        <v>6139</v>
      </c>
      <c r="C2589" t="s">
        <v>6140</v>
      </c>
      <c r="D2589">
        <v>123.9</v>
      </c>
      <c r="E2589">
        <v>128.9</v>
      </c>
      <c r="F2589">
        <v>96.1</v>
      </c>
      <c r="G2589">
        <v>88.1</v>
      </c>
      <c r="H2589">
        <v>129.9</v>
      </c>
      <c r="I2589">
        <v>133.30000000000001</v>
      </c>
      <c r="J2589">
        <v>99</v>
      </c>
      <c r="K2589">
        <v>95.4</v>
      </c>
      <c r="L2589" s="1" t="s">
        <v>6139</v>
      </c>
      <c r="M2589" t="s">
        <v>197</v>
      </c>
      <c r="N2589">
        <v>2</v>
      </c>
    </row>
    <row r="2590" spans="1:14" x14ac:dyDescent="0.25">
      <c r="A2590" s="3" t="str">
        <f>HYPERLINK("http://www.ncbi.nlm.nih.gov/gene/4634","4634")</f>
        <v>4634</v>
      </c>
      <c r="B2590" s="1" t="s">
        <v>6141</v>
      </c>
      <c r="C2590" t="s">
        <v>6142</v>
      </c>
      <c r="D2590">
        <v>98.5</v>
      </c>
      <c r="E2590">
        <v>100.4</v>
      </c>
      <c r="F2590">
        <v>100</v>
      </c>
      <c r="G2590">
        <v>100</v>
      </c>
      <c r="H2590">
        <v>135.80000000000001</v>
      </c>
      <c r="I2590">
        <v>140.69999999999999</v>
      </c>
      <c r="J2590">
        <v>100</v>
      </c>
      <c r="K2590">
        <v>100</v>
      </c>
      <c r="L2590" s="1" t="s">
        <v>6141</v>
      </c>
      <c r="M2590" t="s">
        <v>6143</v>
      </c>
      <c r="N2590">
        <v>3</v>
      </c>
    </row>
    <row r="2591" spans="1:14" x14ac:dyDescent="0.25">
      <c r="A2591" s="3" t="str">
        <f>HYPERLINK("http://www.ncbi.nlm.nih.gov/gene/4635","4635")</f>
        <v>4635</v>
      </c>
      <c r="B2591" s="1" t="s">
        <v>6144</v>
      </c>
      <c r="C2591" t="s">
        <v>6145</v>
      </c>
      <c r="D2591">
        <v>149.1</v>
      </c>
      <c r="E2591">
        <v>153.9</v>
      </c>
      <c r="F2591">
        <v>100</v>
      </c>
      <c r="G2591">
        <v>100</v>
      </c>
      <c r="H2591">
        <v>173.8</v>
      </c>
      <c r="I2591">
        <v>179.2</v>
      </c>
      <c r="J2591">
        <v>100</v>
      </c>
      <c r="K2591">
        <v>100</v>
      </c>
      <c r="L2591" s="1" t="s">
        <v>6144</v>
      </c>
      <c r="M2591" t="s">
        <v>197</v>
      </c>
      <c r="N2591">
        <v>2</v>
      </c>
    </row>
    <row r="2592" spans="1:14" x14ac:dyDescent="0.25">
      <c r="A2592" s="3" t="str">
        <f>HYPERLINK("http://www.ncbi.nlm.nih.gov/gene/58498","58498")</f>
        <v>58498</v>
      </c>
      <c r="B2592" s="1" t="s">
        <v>6146</v>
      </c>
      <c r="C2592" t="s">
        <v>6147</v>
      </c>
      <c r="D2592">
        <v>137</v>
      </c>
      <c r="E2592">
        <v>141.69999999999999</v>
      </c>
      <c r="F2592">
        <v>100</v>
      </c>
      <c r="G2592">
        <v>100</v>
      </c>
      <c r="H2592">
        <v>140.5</v>
      </c>
      <c r="I2592">
        <v>143.4</v>
      </c>
      <c r="J2592">
        <v>100</v>
      </c>
      <c r="K2592">
        <v>100</v>
      </c>
      <c r="L2592" s="1" t="s">
        <v>6146</v>
      </c>
      <c r="M2592" t="s">
        <v>197</v>
      </c>
      <c r="N2592">
        <v>2</v>
      </c>
    </row>
    <row r="2593" spans="1:14" x14ac:dyDescent="0.25">
      <c r="A2593" s="3" t="str">
        <f>HYPERLINK("http://www.ncbi.nlm.nih.gov/gene/4638","4638")</f>
        <v>4638</v>
      </c>
      <c r="B2593" s="1" t="s">
        <v>6148</v>
      </c>
      <c r="C2593" t="s">
        <v>6149</v>
      </c>
      <c r="D2593">
        <v>143.4</v>
      </c>
      <c r="E2593">
        <v>145.9</v>
      </c>
      <c r="F2593">
        <v>100</v>
      </c>
      <c r="G2593">
        <v>99.9</v>
      </c>
      <c r="H2593">
        <v>148.9</v>
      </c>
      <c r="I2593">
        <v>152.30000000000001</v>
      </c>
      <c r="J2593">
        <v>100</v>
      </c>
      <c r="K2593">
        <v>100</v>
      </c>
      <c r="L2593" s="1" t="s">
        <v>6148</v>
      </c>
      <c r="M2593" t="s">
        <v>6150</v>
      </c>
      <c r="N2593">
        <v>4</v>
      </c>
    </row>
    <row r="2594" spans="1:14" x14ac:dyDescent="0.25">
      <c r="A2594" s="3" t="str">
        <f>HYPERLINK("http://www.ncbi.nlm.nih.gov/gene/85366","85366")</f>
        <v>85366</v>
      </c>
      <c r="B2594" s="1" t="s">
        <v>6151</v>
      </c>
      <c r="C2594" t="s">
        <v>6152</v>
      </c>
      <c r="D2594">
        <v>137.4</v>
      </c>
      <c r="E2594">
        <v>141.9</v>
      </c>
      <c r="F2594">
        <v>100</v>
      </c>
      <c r="G2594">
        <v>100</v>
      </c>
      <c r="H2594">
        <v>132.6</v>
      </c>
      <c r="I2594">
        <v>136</v>
      </c>
      <c r="J2594">
        <v>100</v>
      </c>
      <c r="K2594">
        <v>100</v>
      </c>
      <c r="L2594" s="1" t="s">
        <v>6151</v>
      </c>
      <c r="M2594" t="s">
        <v>197</v>
      </c>
      <c r="N2594">
        <v>2</v>
      </c>
    </row>
    <row r="2595" spans="1:14" x14ac:dyDescent="0.25">
      <c r="A2595" s="3" t="str">
        <f>HYPERLINK("http://www.ncbi.nlm.nih.gov/gene/91807","91807")</f>
        <v>91807</v>
      </c>
      <c r="B2595" s="1" t="s">
        <v>6153</v>
      </c>
      <c r="C2595" t="s">
        <v>6154</v>
      </c>
      <c r="D2595">
        <v>128.5</v>
      </c>
      <c r="E2595">
        <v>128.69999999999999</v>
      </c>
      <c r="F2595">
        <v>99.4</v>
      </c>
      <c r="G2595">
        <v>97.8</v>
      </c>
      <c r="H2595">
        <v>150.19999999999999</v>
      </c>
      <c r="I2595">
        <v>152.6</v>
      </c>
      <c r="J2595">
        <v>100</v>
      </c>
      <c r="K2595">
        <v>100</v>
      </c>
      <c r="L2595" s="1" t="s">
        <v>6153</v>
      </c>
      <c r="M2595" t="s">
        <v>197</v>
      </c>
      <c r="N2595">
        <v>2</v>
      </c>
    </row>
    <row r="2596" spans="1:14" x14ac:dyDescent="0.25">
      <c r="A2596" s="3" t="str">
        <f>HYPERLINK("http://www.ncbi.nlm.nih.gov/gene/29895","29895")</f>
        <v>29895</v>
      </c>
      <c r="B2596" s="1" t="s">
        <v>6155</v>
      </c>
      <c r="C2596" t="s">
        <v>6156</v>
      </c>
      <c r="D2596">
        <v>143.19999999999999</v>
      </c>
      <c r="E2596">
        <v>145.19999999999999</v>
      </c>
      <c r="F2596">
        <v>100</v>
      </c>
      <c r="G2596">
        <v>100</v>
      </c>
      <c r="H2596">
        <v>139.19999999999999</v>
      </c>
      <c r="I2596">
        <v>140.9</v>
      </c>
      <c r="J2596">
        <v>100</v>
      </c>
      <c r="K2596">
        <v>100</v>
      </c>
      <c r="L2596" s="1" t="s">
        <v>6155</v>
      </c>
      <c r="M2596" t="s">
        <v>1487</v>
      </c>
      <c r="N2596">
        <v>2</v>
      </c>
    </row>
    <row r="2597" spans="1:14" x14ac:dyDescent="0.25">
      <c r="A2597" s="3" t="str">
        <f>HYPERLINK("http://www.ncbi.nlm.nih.gov/gene/389827","389827")</f>
        <v>389827</v>
      </c>
      <c r="B2597" s="1" t="s">
        <v>6157</v>
      </c>
      <c r="C2597" t="s">
        <v>6158</v>
      </c>
      <c r="D2597">
        <v>136.80000000000001</v>
      </c>
      <c r="E2597">
        <v>141</v>
      </c>
      <c r="F2597">
        <v>100</v>
      </c>
      <c r="G2597">
        <v>100</v>
      </c>
      <c r="H2597">
        <v>136.5</v>
      </c>
      <c r="I2597">
        <v>139.9</v>
      </c>
      <c r="J2597">
        <v>100</v>
      </c>
      <c r="K2597">
        <v>100</v>
      </c>
      <c r="L2597" s="1" t="s">
        <v>6157</v>
      </c>
      <c r="M2597" t="s">
        <v>2164</v>
      </c>
      <c r="N2597">
        <v>3</v>
      </c>
    </row>
    <row r="2598" spans="1:14" x14ac:dyDescent="0.25">
      <c r="A2598" s="3" t="str">
        <f>HYPERLINK("http://www.ncbi.nlm.nih.gov/gene/51168","51168")</f>
        <v>51168</v>
      </c>
      <c r="B2598" s="1" t="s">
        <v>6159</v>
      </c>
      <c r="C2598" t="s">
        <v>6160</v>
      </c>
      <c r="D2598">
        <v>153.1</v>
      </c>
      <c r="E2598">
        <v>141.6</v>
      </c>
      <c r="F2598">
        <v>98.8</v>
      </c>
      <c r="G2598">
        <v>97</v>
      </c>
      <c r="H2598">
        <v>136.19999999999999</v>
      </c>
      <c r="I2598">
        <v>138</v>
      </c>
      <c r="J2598">
        <v>100</v>
      </c>
      <c r="K2598">
        <v>99.9</v>
      </c>
      <c r="L2598" s="1" t="s">
        <v>6159</v>
      </c>
      <c r="M2598" t="s">
        <v>269</v>
      </c>
      <c r="N2598">
        <v>3</v>
      </c>
    </row>
    <row r="2599" spans="1:14" x14ac:dyDescent="0.25">
      <c r="A2599" s="3" t="str">
        <f>HYPERLINK("http://www.ncbi.nlm.nih.gov/gene/84700","84700")</f>
        <v>84700</v>
      </c>
      <c r="B2599" s="1" t="s">
        <v>6161</v>
      </c>
      <c r="C2599" t="s">
        <v>6162</v>
      </c>
      <c r="D2599">
        <v>130.30000000000001</v>
      </c>
      <c r="E2599">
        <v>132.6</v>
      </c>
      <c r="F2599">
        <v>100</v>
      </c>
      <c r="G2599">
        <v>99.1</v>
      </c>
      <c r="H2599">
        <v>133.6</v>
      </c>
      <c r="I2599">
        <v>135.4</v>
      </c>
      <c r="J2599">
        <v>100</v>
      </c>
      <c r="K2599">
        <v>100</v>
      </c>
      <c r="L2599" s="1" t="s">
        <v>6161</v>
      </c>
      <c r="M2599" t="s">
        <v>1168</v>
      </c>
      <c r="N2599">
        <v>3</v>
      </c>
    </row>
    <row r="2600" spans="1:14" x14ac:dyDescent="0.25">
      <c r="A2600" s="3" t="str">
        <f>HYPERLINK("http://www.ncbi.nlm.nih.gov/gene/4640","4640")</f>
        <v>4640</v>
      </c>
      <c r="B2600" s="1" t="s">
        <v>6163</v>
      </c>
      <c r="C2600" t="s">
        <v>6164</v>
      </c>
      <c r="D2600">
        <v>121.3</v>
      </c>
      <c r="E2600">
        <v>126.2</v>
      </c>
      <c r="F2600">
        <v>100</v>
      </c>
      <c r="G2600">
        <v>99.8</v>
      </c>
      <c r="H2600">
        <v>132.5</v>
      </c>
      <c r="I2600">
        <v>135.9</v>
      </c>
      <c r="J2600">
        <v>100</v>
      </c>
      <c r="K2600">
        <v>100</v>
      </c>
      <c r="L2600" s="1" t="s">
        <v>6163</v>
      </c>
      <c r="M2600" t="s">
        <v>718</v>
      </c>
      <c r="N2600">
        <v>2</v>
      </c>
    </row>
    <row r="2601" spans="1:14" x14ac:dyDescent="0.25">
      <c r="A2601" s="3" t="str">
        <f>HYPERLINK("http://www.ncbi.nlm.nih.gov/gene/4643","4643")</f>
        <v>4643</v>
      </c>
      <c r="B2601" s="1" t="s">
        <v>6165</v>
      </c>
      <c r="C2601" t="s">
        <v>6166</v>
      </c>
      <c r="D2601">
        <v>148.69999999999999</v>
      </c>
      <c r="E2601">
        <v>155.1</v>
      </c>
      <c r="F2601">
        <v>99.9</v>
      </c>
      <c r="G2601">
        <v>99.5</v>
      </c>
      <c r="H2601">
        <v>137.30000000000001</v>
      </c>
      <c r="I2601">
        <v>141.4</v>
      </c>
      <c r="J2601">
        <v>100</v>
      </c>
      <c r="K2601">
        <v>100</v>
      </c>
      <c r="L2601" s="1" t="s">
        <v>6165</v>
      </c>
      <c r="M2601" t="s">
        <v>357</v>
      </c>
      <c r="N2601">
        <v>3</v>
      </c>
    </row>
    <row r="2602" spans="1:14" x14ac:dyDescent="0.25">
      <c r="A2602" s="3" t="str">
        <f>HYPERLINK("http://www.ncbi.nlm.nih.gov/gene/53904","53904")</f>
        <v>53904</v>
      </c>
      <c r="B2602" s="1" t="s">
        <v>6167</v>
      </c>
      <c r="C2602" t="s">
        <v>6168</v>
      </c>
      <c r="D2602">
        <v>124</v>
      </c>
      <c r="E2602">
        <v>125.9</v>
      </c>
      <c r="F2602">
        <v>99.6</v>
      </c>
      <c r="G2602">
        <v>96.6</v>
      </c>
      <c r="H2602">
        <v>120.9</v>
      </c>
      <c r="I2602">
        <v>124.4</v>
      </c>
      <c r="J2602">
        <v>100</v>
      </c>
      <c r="K2602">
        <v>100</v>
      </c>
      <c r="L2602" s="1" t="s">
        <v>6167</v>
      </c>
      <c r="M2602" t="s">
        <v>1687</v>
      </c>
      <c r="N2602">
        <v>3</v>
      </c>
    </row>
    <row r="2603" spans="1:14" x14ac:dyDescent="0.25">
      <c r="A2603" s="3" t="str">
        <f>HYPERLINK("http://www.ncbi.nlm.nih.gov/gene/4644","4644")</f>
        <v>4644</v>
      </c>
      <c r="B2603" s="1" t="s">
        <v>6169</v>
      </c>
      <c r="C2603" t="s">
        <v>6170</v>
      </c>
      <c r="D2603">
        <v>131.80000000000001</v>
      </c>
      <c r="E2603">
        <v>136.19999999999999</v>
      </c>
      <c r="F2603">
        <v>99.8</v>
      </c>
      <c r="G2603">
        <v>98.9</v>
      </c>
      <c r="H2603">
        <v>134.69999999999999</v>
      </c>
      <c r="I2603">
        <v>138.80000000000001</v>
      </c>
      <c r="J2603">
        <v>100</v>
      </c>
      <c r="K2603">
        <v>100</v>
      </c>
      <c r="L2603" s="1" t="s">
        <v>6169</v>
      </c>
      <c r="M2603" t="s">
        <v>6171</v>
      </c>
      <c r="N2603">
        <v>5</v>
      </c>
    </row>
    <row r="2604" spans="1:14" x14ac:dyDescent="0.25">
      <c r="A2604" s="3" t="str">
        <f>HYPERLINK("http://www.ncbi.nlm.nih.gov/gene/4645","4645")</f>
        <v>4645</v>
      </c>
      <c r="B2604" s="1" t="s">
        <v>6172</v>
      </c>
      <c r="D2604">
        <v>120.1</v>
      </c>
      <c r="E2604">
        <v>125.2</v>
      </c>
      <c r="F2604">
        <v>99.1</v>
      </c>
      <c r="G2604">
        <v>96.2</v>
      </c>
      <c r="H2604">
        <v>134.6</v>
      </c>
      <c r="I2604">
        <v>138.69999999999999</v>
      </c>
      <c r="J2604">
        <v>100</v>
      </c>
      <c r="K2604">
        <v>100</v>
      </c>
      <c r="L2604" s="1" t="s">
        <v>6172</v>
      </c>
      <c r="M2604" t="s">
        <v>65</v>
      </c>
      <c r="N2604">
        <v>3</v>
      </c>
    </row>
    <row r="2605" spans="1:14" x14ac:dyDescent="0.25">
      <c r="A2605" s="3" t="str">
        <f>HYPERLINK("http://www.ncbi.nlm.nih.gov/gene/4646","4646")</f>
        <v>4646</v>
      </c>
      <c r="B2605" s="1" t="s">
        <v>6173</v>
      </c>
      <c r="C2605" t="s">
        <v>6174</v>
      </c>
      <c r="D2605">
        <v>112.1</v>
      </c>
      <c r="E2605">
        <v>115.6</v>
      </c>
      <c r="F2605">
        <v>99.5</v>
      </c>
      <c r="G2605">
        <v>96.6</v>
      </c>
      <c r="H2605">
        <v>121.9</v>
      </c>
      <c r="I2605">
        <v>125.3</v>
      </c>
      <c r="J2605">
        <v>100</v>
      </c>
      <c r="K2605">
        <v>100</v>
      </c>
      <c r="L2605" s="1" t="s">
        <v>6173</v>
      </c>
      <c r="M2605" t="s">
        <v>6175</v>
      </c>
      <c r="N2605">
        <v>4</v>
      </c>
    </row>
    <row r="2606" spans="1:14" x14ac:dyDescent="0.25">
      <c r="A2606" s="3" t="str">
        <f>HYPERLINK("http://www.ncbi.nlm.nih.gov/gene/4647","4647")</f>
        <v>4647</v>
      </c>
      <c r="B2606" s="1" t="s">
        <v>6176</v>
      </c>
      <c r="C2606" t="s">
        <v>6177</v>
      </c>
      <c r="D2606">
        <v>130.4</v>
      </c>
      <c r="E2606">
        <v>137.1</v>
      </c>
      <c r="F2606">
        <v>99.3</v>
      </c>
      <c r="G2606">
        <v>97.3</v>
      </c>
      <c r="H2606">
        <v>143.30000000000001</v>
      </c>
      <c r="I2606">
        <v>147.6</v>
      </c>
      <c r="J2606">
        <v>100</v>
      </c>
      <c r="K2606">
        <v>100</v>
      </c>
      <c r="L2606" s="1" t="s">
        <v>6176</v>
      </c>
      <c r="M2606" t="s">
        <v>6178</v>
      </c>
      <c r="N2606">
        <v>4</v>
      </c>
    </row>
    <row r="2607" spans="1:14" x14ac:dyDescent="0.25">
      <c r="A2607" s="3" t="str">
        <f>HYPERLINK("http://www.ncbi.nlm.nih.gov/gene/4649","4649")</f>
        <v>4649</v>
      </c>
      <c r="B2607" s="1" t="s">
        <v>6179</v>
      </c>
      <c r="C2607" t="s">
        <v>6180</v>
      </c>
      <c r="D2607">
        <v>166.8</v>
      </c>
      <c r="E2607">
        <v>168.8</v>
      </c>
      <c r="F2607">
        <v>99.9</v>
      </c>
      <c r="G2607">
        <v>99.1</v>
      </c>
      <c r="H2607">
        <v>147.1</v>
      </c>
      <c r="I2607">
        <v>150.19999999999999</v>
      </c>
      <c r="J2607">
        <v>100</v>
      </c>
      <c r="K2607">
        <v>100</v>
      </c>
      <c r="L2607" s="1" t="s">
        <v>6179</v>
      </c>
      <c r="M2607" t="s">
        <v>228</v>
      </c>
      <c r="N2607">
        <v>3</v>
      </c>
    </row>
    <row r="2608" spans="1:14" x14ac:dyDescent="0.25">
      <c r="A2608" s="3" t="str">
        <f>HYPERLINK("http://www.ncbi.nlm.nih.gov/gene/4653","4653")</f>
        <v>4653</v>
      </c>
      <c r="B2608" s="1" t="s">
        <v>6181</v>
      </c>
      <c r="C2608" t="s">
        <v>6182</v>
      </c>
      <c r="D2608">
        <v>171.1</v>
      </c>
      <c r="E2608">
        <v>161.9</v>
      </c>
      <c r="F2608">
        <v>100</v>
      </c>
      <c r="G2608">
        <v>98.6</v>
      </c>
      <c r="H2608">
        <v>154.19999999999999</v>
      </c>
      <c r="I2608">
        <v>157.30000000000001</v>
      </c>
      <c r="J2608">
        <v>100</v>
      </c>
      <c r="K2608">
        <v>100</v>
      </c>
      <c r="L2608" s="1" t="s">
        <v>6181</v>
      </c>
      <c r="M2608" t="s">
        <v>302</v>
      </c>
      <c r="N2608">
        <v>2</v>
      </c>
    </row>
    <row r="2609" spans="1:14" x14ac:dyDescent="0.25">
      <c r="A2609" s="3" t="str">
        <f>HYPERLINK("http://www.ncbi.nlm.nih.gov/gene/8736","8736")</f>
        <v>8736</v>
      </c>
      <c r="B2609" s="1" t="s">
        <v>6183</v>
      </c>
      <c r="C2609" t="s">
        <v>6184</v>
      </c>
      <c r="D2609">
        <v>142.6</v>
      </c>
      <c r="E2609">
        <v>148.6</v>
      </c>
      <c r="F2609">
        <v>99.9</v>
      </c>
      <c r="G2609">
        <v>98.4</v>
      </c>
      <c r="H2609">
        <v>142.19999999999999</v>
      </c>
      <c r="I2609">
        <v>146.19999999999999</v>
      </c>
      <c r="J2609">
        <v>100</v>
      </c>
      <c r="K2609">
        <v>100</v>
      </c>
      <c r="L2609" s="1" t="s">
        <v>6183</v>
      </c>
      <c r="M2609" t="s">
        <v>197</v>
      </c>
      <c r="N2609">
        <v>2</v>
      </c>
    </row>
    <row r="2610" spans="1:14" x14ac:dyDescent="0.25">
      <c r="A2610" s="3" t="str">
        <f>HYPERLINK("http://www.ncbi.nlm.nih.gov/gene/57462","57462")</f>
        <v>57462</v>
      </c>
      <c r="B2610" s="1" t="s">
        <v>6185</v>
      </c>
      <c r="C2610" t="s">
        <v>6186</v>
      </c>
      <c r="D2610">
        <v>181.5</v>
      </c>
      <c r="E2610">
        <v>188.1</v>
      </c>
      <c r="F2610">
        <v>100</v>
      </c>
      <c r="G2610">
        <v>100</v>
      </c>
      <c r="H2610">
        <v>133.5</v>
      </c>
      <c r="I2610">
        <v>133.80000000000001</v>
      </c>
      <c r="J2610">
        <v>100</v>
      </c>
      <c r="K2610">
        <v>100</v>
      </c>
      <c r="L2610" s="1" t="s">
        <v>6185</v>
      </c>
      <c r="M2610" t="s">
        <v>6187</v>
      </c>
      <c r="N2610">
        <v>3</v>
      </c>
    </row>
    <row r="2611" spans="1:14" x14ac:dyDescent="0.25">
      <c r="A2611" s="3" t="str">
        <f>HYPERLINK("http://www.ncbi.nlm.nih.gov/gene/9499","9499")</f>
        <v>9499</v>
      </c>
      <c r="B2611" s="1" t="s">
        <v>6188</v>
      </c>
      <c r="C2611" t="s">
        <v>6189</v>
      </c>
      <c r="D2611">
        <v>164.2</v>
      </c>
      <c r="E2611">
        <v>174.8</v>
      </c>
      <c r="F2611">
        <v>100</v>
      </c>
      <c r="G2611">
        <v>99.6</v>
      </c>
      <c r="H2611">
        <v>141.4</v>
      </c>
      <c r="I2611">
        <v>146.69999999999999</v>
      </c>
      <c r="J2611">
        <v>100</v>
      </c>
      <c r="K2611">
        <v>100</v>
      </c>
      <c r="L2611" s="1" t="s">
        <v>6188</v>
      </c>
      <c r="M2611" t="s">
        <v>6190</v>
      </c>
      <c r="N2611">
        <v>3</v>
      </c>
    </row>
    <row r="2612" spans="1:14" x14ac:dyDescent="0.25">
      <c r="A2612" s="3" t="str">
        <f>HYPERLINK("http://www.ncbi.nlm.nih.gov/gene/51778","51778")</f>
        <v>51778</v>
      </c>
      <c r="B2612" s="1" t="s">
        <v>6191</v>
      </c>
      <c r="C2612" t="s">
        <v>6192</v>
      </c>
      <c r="D2612">
        <v>182.3</v>
      </c>
      <c r="E2612">
        <v>189.8</v>
      </c>
      <c r="F2612">
        <v>100</v>
      </c>
      <c r="G2612">
        <v>100</v>
      </c>
      <c r="H2612">
        <v>146.19999999999999</v>
      </c>
      <c r="I2612">
        <v>150.6</v>
      </c>
      <c r="J2612">
        <v>100</v>
      </c>
      <c r="K2612">
        <v>100</v>
      </c>
      <c r="L2612" s="1" t="s">
        <v>6191</v>
      </c>
      <c r="M2612" t="s">
        <v>197</v>
      </c>
      <c r="N2612">
        <v>2</v>
      </c>
    </row>
    <row r="2613" spans="1:14" x14ac:dyDescent="0.25">
      <c r="A2613" s="3" t="str">
        <f>HYPERLINK("http://www.ncbi.nlm.nih.gov/gene/84665","84665")</f>
        <v>84665</v>
      </c>
      <c r="B2613" s="1" t="s">
        <v>6193</v>
      </c>
      <c r="C2613" t="s">
        <v>6194</v>
      </c>
      <c r="D2613">
        <v>158.30000000000001</v>
      </c>
      <c r="E2613">
        <v>157</v>
      </c>
      <c r="F2613">
        <v>100</v>
      </c>
      <c r="G2613">
        <v>99.7</v>
      </c>
      <c r="H2613">
        <v>144.4</v>
      </c>
      <c r="I2613">
        <v>147.6</v>
      </c>
      <c r="J2613">
        <v>100</v>
      </c>
      <c r="K2613">
        <v>100</v>
      </c>
      <c r="L2613" s="1" t="s">
        <v>6193</v>
      </c>
      <c r="M2613" t="s">
        <v>6195</v>
      </c>
      <c r="N2613">
        <v>4</v>
      </c>
    </row>
    <row r="2614" spans="1:14" x14ac:dyDescent="0.25">
      <c r="A2614" s="3" t="str">
        <f>HYPERLINK("http://www.ncbi.nlm.nih.gov/gene/745","745")</f>
        <v>745</v>
      </c>
      <c r="B2614" s="1" t="s">
        <v>6196</v>
      </c>
      <c r="C2614" t="s">
        <v>6197</v>
      </c>
      <c r="D2614">
        <v>143.30000000000001</v>
      </c>
      <c r="E2614">
        <v>146.9</v>
      </c>
      <c r="F2614">
        <v>99.3</v>
      </c>
      <c r="G2614">
        <v>98.5</v>
      </c>
      <c r="H2614">
        <v>140.80000000000001</v>
      </c>
      <c r="I2614">
        <v>144.69999999999999</v>
      </c>
      <c r="J2614">
        <v>100</v>
      </c>
      <c r="K2614">
        <v>100</v>
      </c>
      <c r="L2614" s="1" t="s">
        <v>6196</v>
      </c>
      <c r="M2614" t="s">
        <v>3838</v>
      </c>
      <c r="N2614">
        <v>4</v>
      </c>
    </row>
    <row r="2615" spans="1:14" x14ac:dyDescent="0.25">
      <c r="A2615" s="3" t="str">
        <f>HYPERLINK("http://www.ncbi.nlm.nih.gov/gene/114803","114803")</f>
        <v>114803</v>
      </c>
      <c r="B2615" s="1" t="s">
        <v>6198</v>
      </c>
      <c r="C2615" t="s">
        <v>6199</v>
      </c>
      <c r="D2615">
        <v>133.1</v>
      </c>
      <c r="E2615">
        <v>130.4</v>
      </c>
      <c r="F2615">
        <v>96.4</v>
      </c>
      <c r="G2615">
        <v>95.5</v>
      </c>
      <c r="H2615">
        <v>127.1</v>
      </c>
      <c r="I2615">
        <v>129.30000000000001</v>
      </c>
      <c r="J2615">
        <v>96.4</v>
      </c>
      <c r="K2615">
        <v>96.4</v>
      </c>
      <c r="L2615" s="1" t="s">
        <v>6198</v>
      </c>
      <c r="M2615" t="s">
        <v>4910</v>
      </c>
      <c r="N2615">
        <v>4</v>
      </c>
    </row>
    <row r="2616" spans="1:14" x14ac:dyDescent="0.25">
      <c r="A2616" s="3" t="str">
        <f>HYPERLINK("http://www.ncbi.nlm.nih.gov/gene/23040","23040")</f>
        <v>23040</v>
      </c>
      <c r="B2616" s="1" t="s">
        <v>6200</v>
      </c>
      <c r="C2616" t="s">
        <v>6201</v>
      </c>
      <c r="D2616">
        <v>136.19999999999999</v>
      </c>
      <c r="E2616">
        <v>137.6</v>
      </c>
      <c r="F2616">
        <v>87</v>
      </c>
      <c r="G2616">
        <v>86.2</v>
      </c>
      <c r="H2616">
        <v>147.5</v>
      </c>
      <c r="I2616">
        <v>150.9</v>
      </c>
      <c r="J2616">
        <v>90.2</v>
      </c>
      <c r="K2616">
        <v>90.2</v>
      </c>
      <c r="L2616" s="1" t="s">
        <v>6200</v>
      </c>
      <c r="M2616" t="s">
        <v>189</v>
      </c>
      <c r="N2616">
        <v>2</v>
      </c>
    </row>
    <row r="2617" spans="1:14" x14ac:dyDescent="0.25">
      <c r="A2617" s="3" t="str">
        <f>HYPERLINK("http://www.ncbi.nlm.nih.gov/gene/51237","51237")</f>
        <v>51237</v>
      </c>
      <c r="B2617" s="1" t="s">
        <v>6202</v>
      </c>
      <c r="C2617" t="s">
        <v>6203</v>
      </c>
      <c r="D2617">
        <v>130.1</v>
      </c>
      <c r="E2617">
        <v>136.19999999999999</v>
      </c>
      <c r="F2617">
        <v>100</v>
      </c>
      <c r="G2617">
        <v>100</v>
      </c>
      <c r="H2617">
        <v>137.80000000000001</v>
      </c>
      <c r="I2617">
        <v>141.30000000000001</v>
      </c>
      <c r="J2617">
        <v>100</v>
      </c>
      <c r="K2617">
        <v>100</v>
      </c>
      <c r="L2617" s="1" t="s">
        <v>6202</v>
      </c>
      <c r="M2617" t="s">
        <v>661</v>
      </c>
      <c r="N2617">
        <v>2</v>
      </c>
    </row>
    <row r="2618" spans="1:14" x14ac:dyDescent="0.25">
      <c r="A2618" s="3" t="str">
        <f>HYPERLINK("http://www.ncbi.nlm.nih.gov/gene/8260","8260")</f>
        <v>8260</v>
      </c>
      <c r="B2618" s="1" t="s">
        <v>6204</v>
      </c>
      <c r="C2618" t="s">
        <v>6205</v>
      </c>
      <c r="D2618">
        <v>110.9</v>
      </c>
      <c r="E2618">
        <v>116.8</v>
      </c>
      <c r="F2618">
        <v>99.7</v>
      </c>
      <c r="G2618">
        <v>98.5</v>
      </c>
      <c r="H2618">
        <v>141</v>
      </c>
      <c r="I2618">
        <v>145.5</v>
      </c>
      <c r="J2618">
        <v>99.9</v>
      </c>
      <c r="K2618">
        <v>99.9</v>
      </c>
      <c r="L2618" s="1" t="s">
        <v>6204</v>
      </c>
      <c r="M2618" t="s">
        <v>6206</v>
      </c>
      <c r="N2618">
        <v>5</v>
      </c>
    </row>
    <row r="2619" spans="1:14" x14ac:dyDescent="0.25">
      <c r="A2619" s="3" t="str">
        <f>HYPERLINK("http://www.ncbi.nlm.nih.gov/gene/80155","80155")</f>
        <v>80155</v>
      </c>
      <c r="B2619" s="1" t="s">
        <v>6207</v>
      </c>
      <c r="C2619" t="s">
        <v>6208</v>
      </c>
      <c r="D2619">
        <v>101.6</v>
      </c>
      <c r="E2619">
        <v>105.4</v>
      </c>
      <c r="F2619">
        <v>95.8</v>
      </c>
      <c r="G2619">
        <v>91</v>
      </c>
      <c r="H2619">
        <v>105.7</v>
      </c>
      <c r="I2619">
        <v>108.5</v>
      </c>
      <c r="J2619">
        <v>96.8</v>
      </c>
      <c r="K2619">
        <v>96.7</v>
      </c>
      <c r="L2619" s="1" t="s">
        <v>6207</v>
      </c>
      <c r="M2619" t="s">
        <v>6209</v>
      </c>
      <c r="N2619">
        <v>4</v>
      </c>
    </row>
    <row r="2620" spans="1:14" x14ac:dyDescent="0.25">
      <c r="A2620" s="3" t="str">
        <f>HYPERLINK("http://www.ncbi.nlm.nih.gov/gene/112939","112939")</f>
        <v>112939</v>
      </c>
      <c r="B2620" s="1" t="s">
        <v>6210</v>
      </c>
      <c r="C2620" t="s">
        <v>6211</v>
      </c>
      <c r="D2620">
        <v>143.4</v>
      </c>
      <c r="E2620">
        <v>153.1</v>
      </c>
      <c r="F2620">
        <v>100</v>
      </c>
      <c r="G2620">
        <v>99.8</v>
      </c>
      <c r="H2620">
        <v>140.4</v>
      </c>
      <c r="I2620">
        <v>143.6</v>
      </c>
      <c r="J2620">
        <v>100</v>
      </c>
      <c r="K2620">
        <v>100</v>
      </c>
      <c r="L2620" s="1" t="s">
        <v>6210</v>
      </c>
      <c r="M2620" t="s">
        <v>995</v>
      </c>
      <c r="N2620">
        <v>3</v>
      </c>
    </row>
    <row r="2621" spans="1:14" x14ac:dyDescent="0.25">
      <c r="A2621" s="3" t="str">
        <f>HYPERLINK("http://www.ncbi.nlm.nih.gov/gene/133686","133686")</f>
        <v>133686</v>
      </c>
      <c r="B2621" s="1" t="s">
        <v>6212</v>
      </c>
      <c r="C2621" t="s">
        <v>6213</v>
      </c>
      <c r="D2621">
        <v>196.2</v>
      </c>
      <c r="E2621">
        <v>199.4</v>
      </c>
      <c r="F2621">
        <v>99.9</v>
      </c>
      <c r="G2621">
        <v>97.2</v>
      </c>
      <c r="H2621">
        <v>117.9</v>
      </c>
      <c r="I2621">
        <v>119</v>
      </c>
      <c r="J2621">
        <v>99</v>
      </c>
      <c r="K2621">
        <v>96.3</v>
      </c>
      <c r="L2621" s="1" t="s">
        <v>6212</v>
      </c>
      <c r="M2621" t="s">
        <v>116</v>
      </c>
      <c r="N2621">
        <v>3</v>
      </c>
    </row>
    <row r="2622" spans="1:14" x14ac:dyDescent="0.25">
      <c r="A2622" s="3" t="str">
        <f>HYPERLINK("http://www.ncbi.nlm.nih.gov/gene/55191","55191")</f>
        <v>55191</v>
      </c>
      <c r="B2622" s="1" t="s">
        <v>6214</v>
      </c>
      <c r="C2622" t="s">
        <v>6215</v>
      </c>
      <c r="D2622">
        <v>136.5</v>
      </c>
      <c r="E2622">
        <v>141.9</v>
      </c>
      <c r="F2622">
        <v>100</v>
      </c>
      <c r="G2622">
        <v>100</v>
      </c>
      <c r="H2622">
        <v>121</v>
      </c>
      <c r="I2622">
        <v>123.6</v>
      </c>
      <c r="J2622">
        <v>100</v>
      </c>
      <c r="K2622">
        <v>100</v>
      </c>
      <c r="L2622" s="1" t="s">
        <v>6214</v>
      </c>
      <c r="M2622" t="s">
        <v>53</v>
      </c>
      <c r="N2622">
        <v>2</v>
      </c>
    </row>
    <row r="2623" spans="1:14" x14ac:dyDescent="0.25">
      <c r="A2623" s="3" t="str">
        <f>HYPERLINK("http://www.ncbi.nlm.nih.gov/gene/4668","4668")</f>
        <v>4668</v>
      </c>
      <c r="B2623" s="1" t="s">
        <v>6216</v>
      </c>
      <c r="C2623" t="s">
        <v>6217</v>
      </c>
      <c r="D2623">
        <v>143</v>
      </c>
      <c r="E2623">
        <v>152.19999999999999</v>
      </c>
      <c r="F2623">
        <v>100</v>
      </c>
      <c r="G2623">
        <v>100</v>
      </c>
      <c r="H2623">
        <v>129.9</v>
      </c>
      <c r="I2623">
        <v>133.6</v>
      </c>
      <c r="J2623">
        <v>100</v>
      </c>
      <c r="K2623">
        <v>100</v>
      </c>
      <c r="L2623" s="1" t="s">
        <v>6216</v>
      </c>
      <c r="M2623" t="s">
        <v>110</v>
      </c>
      <c r="N2623">
        <v>5</v>
      </c>
    </row>
    <row r="2624" spans="1:14" x14ac:dyDescent="0.25">
      <c r="A2624" s="3" t="str">
        <f>HYPERLINK("http://www.ncbi.nlm.nih.gov/gene/4669","4669")</f>
        <v>4669</v>
      </c>
      <c r="B2624" s="1" t="s">
        <v>6218</v>
      </c>
      <c r="C2624" t="s">
        <v>6219</v>
      </c>
      <c r="D2624">
        <v>122.4</v>
      </c>
      <c r="E2624">
        <v>118</v>
      </c>
      <c r="F2624">
        <v>92.9</v>
      </c>
      <c r="G2624">
        <v>89.9</v>
      </c>
      <c r="H2624">
        <v>139.69999999999999</v>
      </c>
      <c r="I2624">
        <v>140.4</v>
      </c>
      <c r="J2624">
        <v>99.9</v>
      </c>
      <c r="K2624">
        <v>99.2</v>
      </c>
      <c r="L2624" s="1" t="s">
        <v>6218</v>
      </c>
      <c r="M2624" t="s">
        <v>6220</v>
      </c>
      <c r="N2624">
        <v>7</v>
      </c>
    </row>
    <row r="2625" spans="1:14" x14ac:dyDescent="0.25">
      <c r="A2625" s="3" t="str">
        <f>HYPERLINK("http://www.ncbi.nlm.nih.gov/gene/162417","162417")</f>
        <v>162417</v>
      </c>
      <c r="B2625" s="1" t="s">
        <v>6221</v>
      </c>
      <c r="C2625" t="s">
        <v>6222</v>
      </c>
      <c r="D2625">
        <v>88.3</v>
      </c>
      <c r="E2625">
        <v>85</v>
      </c>
      <c r="F2625">
        <v>99.7</v>
      </c>
      <c r="G2625">
        <v>95</v>
      </c>
      <c r="H2625">
        <v>139.6</v>
      </c>
      <c r="I2625">
        <v>143.19999999999999</v>
      </c>
      <c r="J2625">
        <v>100</v>
      </c>
      <c r="K2625">
        <v>100</v>
      </c>
      <c r="L2625" s="1" t="s">
        <v>6221</v>
      </c>
      <c r="M2625" t="s">
        <v>116</v>
      </c>
      <c r="N2625">
        <v>3</v>
      </c>
    </row>
    <row r="2626" spans="1:14" x14ac:dyDescent="0.25">
      <c r="A2626" s="3" t="str">
        <f>HYPERLINK("http://www.ncbi.nlm.nih.gov/gene/259232","259232")</f>
        <v>259232</v>
      </c>
      <c r="B2626" s="1" t="s">
        <v>6223</v>
      </c>
      <c r="C2626" t="s">
        <v>6224</v>
      </c>
      <c r="D2626">
        <v>135</v>
      </c>
      <c r="E2626">
        <v>138.9</v>
      </c>
      <c r="F2626">
        <v>100</v>
      </c>
      <c r="G2626">
        <v>99.5</v>
      </c>
      <c r="H2626">
        <v>135.6</v>
      </c>
      <c r="I2626">
        <v>139.30000000000001</v>
      </c>
      <c r="J2626">
        <v>99.8</v>
      </c>
      <c r="K2626">
        <v>99.8</v>
      </c>
      <c r="L2626" s="1" t="s">
        <v>6223</v>
      </c>
      <c r="M2626" t="s">
        <v>4350</v>
      </c>
      <c r="N2626">
        <v>3</v>
      </c>
    </row>
    <row r="2627" spans="1:14" x14ac:dyDescent="0.25">
      <c r="A2627" s="3" t="str">
        <f>HYPERLINK("http://www.ncbi.nlm.nih.gov/gene/340719","340719")</f>
        <v>340719</v>
      </c>
      <c r="B2627" s="1" t="s">
        <v>6225</v>
      </c>
      <c r="C2627" t="s">
        <v>6226</v>
      </c>
      <c r="D2627">
        <v>88.1</v>
      </c>
      <c r="E2627">
        <v>65.2</v>
      </c>
      <c r="F2627">
        <v>99.6</v>
      </c>
      <c r="G2627">
        <v>95.1</v>
      </c>
      <c r="H2627">
        <v>74.5</v>
      </c>
      <c r="I2627">
        <v>73.7</v>
      </c>
      <c r="J2627">
        <v>95.2</v>
      </c>
      <c r="K2627">
        <v>88.8</v>
      </c>
      <c r="L2627" s="1" t="s">
        <v>6225</v>
      </c>
      <c r="M2627" t="s">
        <v>285</v>
      </c>
      <c r="N2627">
        <v>1</v>
      </c>
    </row>
    <row r="2628" spans="1:14" x14ac:dyDescent="0.25">
      <c r="A2628" s="3" t="str">
        <f>HYPERLINK("http://www.ncbi.nlm.nih.gov/gene/54187","54187")</f>
        <v>54187</v>
      </c>
      <c r="B2628" s="1" t="s">
        <v>6227</v>
      </c>
      <c r="C2628" t="s">
        <v>6228</v>
      </c>
      <c r="D2628">
        <v>109.7</v>
      </c>
      <c r="E2628">
        <v>114.3</v>
      </c>
      <c r="F2628">
        <v>100</v>
      </c>
      <c r="G2628">
        <v>99.9</v>
      </c>
      <c r="H2628">
        <v>153.5</v>
      </c>
      <c r="I2628">
        <v>158.80000000000001</v>
      </c>
      <c r="J2628">
        <v>100</v>
      </c>
      <c r="K2628">
        <v>100</v>
      </c>
      <c r="L2628" s="1" t="s">
        <v>6227</v>
      </c>
      <c r="M2628" t="s">
        <v>6229</v>
      </c>
      <c r="N2628">
        <v>7</v>
      </c>
    </row>
    <row r="2629" spans="1:14" x14ac:dyDescent="0.25">
      <c r="A2629" s="3" t="str">
        <f>HYPERLINK("http://www.ncbi.nlm.nih.gov/gene/4677","4677")</f>
        <v>4677</v>
      </c>
      <c r="B2629" s="1" t="s">
        <v>6230</v>
      </c>
      <c r="C2629" t="s">
        <v>6231</v>
      </c>
      <c r="D2629">
        <v>178.9</v>
      </c>
      <c r="E2629">
        <v>181.6</v>
      </c>
      <c r="F2629">
        <v>100</v>
      </c>
      <c r="G2629">
        <v>100</v>
      </c>
      <c r="H2629">
        <v>118.6</v>
      </c>
      <c r="I2629">
        <v>121.8</v>
      </c>
      <c r="J2629">
        <v>100</v>
      </c>
      <c r="K2629">
        <v>100</v>
      </c>
      <c r="L2629" s="1" t="s">
        <v>6230</v>
      </c>
      <c r="M2629" t="s">
        <v>6232</v>
      </c>
      <c r="N2629">
        <v>2</v>
      </c>
    </row>
    <row r="2630" spans="1:14" x14ac:dyDescent="0.25">
      <c r="A2630" s="3" t="str">
        <f>HYPERLINK("http://www.ncbi.nlm.nih.gov/gene/79731","79731")</f>
        <v>79731</v>
      </c>
      <c r="B2630" s="1" t="s">
        <v>6233</v>
      </c>
      <c r="C2630" t="s">
        <v>6234</v>
      </c>
      <c r="D2630">
        <v>141.80000000000001</v>
      </c>
      <c r="E2630">
        <v>145.9</v>
      </c>
      <c r="F2630">
        <v>98.3</v>
      </c>
      <c r="G2630">
        <v>97.4</v>
      </c>
      <c r="H2630">
        <v>127.9</v>
      </c>
      <c r="I2630">
        <v>131</v>
      </c>
      <c r="J2630">
        <v>100</v>
      </c>
      <c r="K2630">
        <v>100</v>
      </c>
      <c r="L2630" s="1" t="s">
        <v>6233</v>
      </c>
      <c r="M2630" t="s">
        <v>6235</v>
      </c>
      <c r="N2630">
        <v>7</v>
      </c>
    </row>
    <row r="2631" spans="1:14" x14ac:dyDescent="0.25">
      <c r="A2631" s="3" t="str">
        <f>HYPERLINK("http://www.ncbi.nlm.nih.gov/gene/339983","339983")</f>
        <v>339983</v>
      </c>
      <c r="B2631" s="1" t="s">
        <v>6236</v>
      </c>
      <c r="C2631" t="s">
        <v>6237</v>
      </c>
      <c r="D2631">
        <v>80.5</v>
      </c>
      <c r="E2631">
        <v>82.1</v>
      </c>
      <c r="F2631">
        <v>99.5</v>
      </c>
      <c r="G2631">
        <v>94.2</v>
      </c>
      <c r="H2631">
        <v>98.1</v>
      </c>
      <c r="I2631">
        <v>102.7</v>
      </c>
      <c r="J2631">
        <v>95.6</v>
      </c>
      <c r="K2631">
        <v>90.8</v>
      </c>
      <c r="L2631" s="1" t="s">
        <v>6236</v>
      </c>
      <c r="M2631" t="s">
        <v>53</v>
      </c>
      <c r="N2631">
        <v>2</v>
      </c>
    </row>
    <row r="2632" spans="1:14" x14ac:dyDescent="0.25">
      <c r="A2632" s="3" t="str">
        <f>HYPERLINK("http://www.ncbi.nlm.nih.gov/gene/55739","55739")</f>
        <v>55739</v>
      </c>
      <c r="B2632" s="1" t="s">
        <v>6238</v>
      </c>
      <c r="C2632" t="s">
        <v>6239</v>
      </c>
      <c r="D2632">
        <v>143.5</v>
      </c>
      <c r="E2632">
        <v>142.80000000000001</v>
      </c>
      <c r="F2632">
        <v>100</v>
      </c>
      <c r="G2632">
        <v>100</v>
      </c>
      <c r="H2632">
        <v>157</v>
      </c>
      <c r="I2632">
        <v>161.1</v>
      </c>
      <c r="J2632">
        <v>100</v>
      </c>
      <c r="K2632">
        <v>100</v>
      </c>
      <c r="L2632" s="1" t="s">
        <v>6238</v>
      </c>
      <c r="M2632" t="s">
        <v>2287</v>
      </c>
      <c r="N2632">
        <v>4</v>
      </c>
    </row>
    <row r="2633" spans="1:14" x14ac:dyDescent="0.25">
      <c r="A2633" s="3" t="str">
        <f>HYPERLINK("http://www.ncbi.nlm.nih.gov/gene/128240","128240")</f>
        <v>128240</v>
      </c>
      <c r="B2633" s="1" t="s">
        <v>6240</v>
      </c>
      <c r="C2633" t="s">
        <v>6241</v>
      </c>
      <c r="D2633">
        <v>83.3</v>
      </c>
      <c r="E2633">
        <v>85.1</v>
      </c>
      <c r="F2633">
        <v>100</v>
      </c>
      <c r="G2633">
        <v>99.8</v>
      </c>
      <c r="H2633">
        <v>132.69999999999999</v>
      </c>
      <c r="I2633">
        <v>135.80000000000001</v>
      </c>
      <c r="J2633">
        <v>100</v>
      </c>
      <c r="K2633">
        <v>100</v>
      </c>
      <c r="L2633" s="1" t="s">
        <v>6240</v>
      </c>
      <c r="M2633" t="s">
        <v>1330</v>
      </c>
      <c r="N2633">
        <v>5</v>
      </c>
    </row>
    <row r="2634" spans="1:14" x14ac:dyDescent="0.25">
      <c r="A2634" s="3" t="str">
        <f>HYPERLINK("http://www.ncbi.nlm.nih.gov/gene/51594","51594")</f>
        <v>51594</v>
      </c>
      <c r="B2634" s="1" t="s">
        <v>6242</v>
      </c>
      <c r="C2634" t="s">
        <v>6243</v>
      </c>
      <c r="D2634">
        <v>162.30000000000001</v>
      </c>
      <c r="E2634">
        <v>169.2</v>
      </c>
      <c r="F2634">
        <v>100</v>
      </c>
      <c r="G2634">
        <v>99.6</v>
      </c>
      <c r="H2634">
        <v>141.1</v>
      </c>
      <c r="I2634">
        <v>145.5</v>
      </c>
      <c r="J2634">
        <v>100</v>
      </c>
      <c r="K2634">
        <v>100</v>
      </c>
      <c r="L2634" s="1" t="s">
        <v>6242</v>
      </c>
      <c r="M2634" t="s">
        <v>6244</v>
      </c>
      <c r="N2634">
        <v>8</v>
      </c>
    </row>
    <row r="2635" spans="1:14" x14ac:dyDescent="0.25">
      <c r="A2635" s="3" t="str">
        <f>HYPERLINK("http://www.ncbi.nlm.nih.gov/gene/26960","26960")</f>
        <v>26960</v>
      </c>
      <c r="B2635" s="1" t="s">
        <v>6245</v>
      </c>
      <c r="C2635" t="s">
        <v>6246</v>
      </c>
      <c r="D2635">
        <v>143.4</v>
      </c>
      <c r="E2635">
        <v>146.69999999999999</v>
      </c>
      <c r="F2635">
        <v>92</v>
      </c>
      <c r="G2635">
        <v>90.6</v>
      </c>
      <c r="H2635">
        <v>128.4</v>
      </c>
      <c r="I2635">
        <v>131.9</v>
      </c>
      <c r="J2635">
        <v>100</v>
      </c>
      <c r="K2635">
        <v>100</v>
      </c>
      <c r="L2635" s="1" t="s">
        <v>6245</v>
      </c>
      <c r="M2635" t="s">
        <v>6247</v>
      </c>
      <c r="N2635">
        <v>4</v>
      </c>
    </row>
    <row r="2636" spans="1:14" x14ac:dyDescent="0.25">
      <c r="A2636" s="3" t="str">
        <f>HYPERLINK("http://www.ncbi.nlm.nih.gov/gene/23218","23218")</f>
        <v>23218</v>
      </c>
      <c r="B2636" s="1" t="s">
        <v>6248</v>
      </c>
      <c r="C2636" t="s">
        <v>6249</v>
      </c>
      <c r="D2636">
        <v>164.8</v>
      </c>
      <c r="E2636">
        <v>166.4</v>
      </c>
      <c r="F2636">
        <v>99.4</v>
      </c>
      <c r="G2636">
        <v>99.4</v>
      </c>
      <c r="H2636">
        <v>145</v>
      </c>
      <c r="I2636">
        <v>146.4</v>
      </c>
      <c r="J2636">
        <v>100</v>
      </c>
      <c r="K2636">
        <v>100</v>
      </c>
      <c r="L2636" s="1" t="s">
        <v>6248</v>
      </c>
      <c r="M2636" t="s">
        <v>4118</v>
      </c>
      <c r="N2636">
        <v>4</v>
      </c>
    </row>
    <row r="2637" spans="1:14" x14ac:dyDescent="0.25">
      <c r="A2637" s="3" t="str">
        <f>HYPERLINK("http://www.ncbi.nlm.nih.gov/gene/4683","4683")</f>
        <v>4683</v>
      </c>
      <c r="B2637" s="1" t="s">
        <v>6250</v>
      </c>
      <c r="C2637" t="s">
        <v>6251</v>
      </c>
      <c r="D2637">
        <v>105.4</v>
      </c>
      <c r="E2637">
        <v>109.6</v>
      </c>
      <c r="F2637">
        <v>99.9</v>
      </c>
      <c r="G2637">
        <v>98.6</v>
      </c>
      <c r="H2637">
        <v>135.1</v>
      </c>
      <c r="I2637">
        <v>138.19999999999999</v>
      </c>
      <c r="J2637">
        <v>100</v>
      </c>
      <c r="K2637">
        <v>100</v>
      </c>
      <c r="L2637" s="1" t="s">
        <v>6250</v>
      </c>
      <c r="M2637" t="s">
        <v>6252</v>
      </c>
      <c r="N2637">
        <v>7</v>
      </c>
    </row>
    <row r="2638" spans="1:14" x14ac:dyDescent="0.25">
      <c r="A2638" s="3" t="str">
        <f>HYPERLINK("http://www.ncbi.nlm.nih.gov/gene/9918","9918")</f>
        <v>9918</v>
      </c>
      <c r="B2638" s="1" t="s">
        <v>6253</v>
      </c>
      <c r="C2638" t="s">
        <v>6254</v>
      </c>
      <c r="D2638">
        <v>134.19999999999999</v>
      </c>
      <c r="E2638">
        <v>137.5</v>
      </c>
      <c r="F2638">
        <v>100</v>
      </c>
      <c r="G2638">
        <v>99.7</v>
      </c>
      <c r="H2638">
        <v>130.19999999999999</v>
      </c>
      <c r="I2638">
        <v>134.30000000000001</v>
      </c>
      <c r="J2638">
        <v>100</v>
      </c>
      <c r="K2638">
        <v>100</v>
      </c>
      <c r="L2638" s="1" t="s">
        <v>6253</v>
      </c>
      <c r="M2638" t="s">
        <v>53</v>
      </c>
      <c r="N2638">
        <v>2</v>
      </c>
    </row>
    <row r="2639" spans="1:14" x14ac:dyDescent="0.25">
      <c r="A2639" s="3" t="str">
        <f>HYPERLINK("http://www.ncbi.nlm.nih.gov/gene/23310","23310")</f>
        <v>23310</v>
      </c>
      <c r="B2639" s="1" t="s">
        <v>6255</v>
      </c>
      <c r="C2639" t="s">
        <v>6256</v>
      </c>
      <c r="D2639">
        <v>120</v>
      </c>
      <c r="E2639">
        <v>122.4</v>
      </c>
      <c r="F2639">
        <v>99.9</v>
      </c>
      <c r="G2639">
        <v>98.9</v>
      </c>
      <c r="H2639">
        <v>141.4</v>
      </c>
      <c r="I2639">
        <v>145.30000000000001</v>
      </c>
      <c r="J2639">
        <v>100</v>
      </c>
      <c r="K2639">
        <v>100</v>
      </c>
      <c r="L2639" s="1" t="s">
        <v>6255</v>
      </c>
      <c r="M2639" t="s">
        <v>53</v>
      </c>
      <c r="N2639">
        <v>2</v>
      </c>
    </row>
    <row r="2640" spans="1:14" x14ac:dyDescent="0.25">
      <c r="A2640" s="3" t="str">
        <f>HYPERLINK("http://www.ncbi.nlm.nih.gov/gene/54892","54892")</f>
        <v>54892</v>
      </c>
      <c r="B2640" s="1" t="s">
        <v>6257</v>
      </c>
      <c r="C2640" t="s">
        <v>6258</v>
      </c>
      <c r="D2640">
        <v>143.9</v>
      </c>
      <c r="E2640">
        <v>149.4</v>
      </c>
      <c r="F2640">
        <v>99.9</v>
      </c>
      <c r="G2640">
        <v>99.2</v>
      </c>
      <c r="H2640">
        <v>133.4</v>
      </c>
      <c r="I2640">
        <v>137.9</v>
      </c>
      <c r="J2640">
        <v>100</v>
      </c>
      <c r="K2640">
        <v>100</v>
      </c>
      <c r="L2640" s="1" t="s">
        <v>6257</v>
      </c>
      <c r="M2640" t="s">
        <v>1730</v>
      </c>
      <c r="N2640">
        <v>5</v>
      </c>
    </row>
    <row r="2641" spans="1:14" x14ac:dyDescent="0.25">
      <c r="A2641" s="3" t="str">
        <f>HYPERLINK("http://www.ncbi.nlm.nih.gov/gene/23397","23397")</f>
        <v>23397</v>
      </c>
      <c r="B2641" s="1" t="s">
        <v>6259</v>
      </c>
      <c r="C2641" t="s">
        <v>6260</v>
      </c>
      <c r="D2641">
        <v>141</v>
      </c>
      <c r="E2641">
        <v>146.80000000000001</v>
      </c>
      <c r="F2641">
        <v>100</v>
      </c>
      <c r="G2641">
        <v>100</v>
      </c>
      <c r="H2641">
        <v>123</v>
      </c>
      <c r="I2641">
        <v>126.3</v>
      </c>
      <c r="J2641">
        <v>100</v>
      </c>
      <c r="K2641">
        <v>100</v>
      </c>
      <c r="L2641" s="1" t="s">
        <v>6259</v>
      </c>
      <c r="M2641" t="s">
        <v>53</v>
      </c>
      <c r="N2641">
        <v>2</v>
      </c>
    </row>
    <row r="2642" spans="1:14" x14ac:dyDescent="0.25">
      <c r="A2642" s="3" t="str">
        <f>HYPERLINK("http://www.ncbi.nlm.nih.gov/gene/653361","653361")</f>
        <v>653361</v>
      </c>
      <c r="B2642" s="1" t="s">
        <v>6261</v>
      </c>
      <c r="C2642" t="s">
        <v>6262</v>
      </c>
      <c r="D2642">
        <v>24.8</v>
      </c>
      <c r="E2642">
        <v>25.8</v>
      </c>
      <c r="F2642">
        <v>26</v>
      </c>
      <c r="G2642">
        <v>25.8</v>
      </c>
      <c r="H2642">
        <v>113.8</v>
      </c>
      <c r="I2642">
        <v>116.7</v>
      </c>
      <c r="J2642">
        <v>100</v>
      </c>
      <c r="K2642">
        <v>99.8</v>
      </c>
      <c r="L2642" s="1" t="s">
        <v>6261</v>
      </c>
      <c r="M2642" t="s">
        <v>1097</v>
      </c>
      <c r="N2642">
        <v>3</v>
      </c>
    </row>
    <row r="2643" spans="1:14" x14ac:dyDescent="0.25">
      <c r="A2643" s="3" t="str">
        <f>HYPERLINK("http://www.ncbi.nlm.nih.gov/gene/4688","4688")</f>
        <v>4688</v>
      </c>
      <c r="B2643" s="1" t="s">
        <v>6263</v>
      </c>
      <c r="C2643" t="s">
        <v>6264</v>
      </c>
      <c r="D2643">
        <v>141.69999999999999</v>
      </c>
      <c r="E2643">
        <v>145.69999999999999</v>
      </c>
      <c r="F2643">
        <v>99.9</v>
      </c>
      <c r="G2643">
        <v>98.3</v>
      </c>
      <c r="H2643">
        <v>140</v>
      </c>
      <c r="I2643">
        <v>143.30000000000001</v>
      </c>
      <c r="J2643">
        <v>100</v>
      </c>
      <c r="K2643">
        <v>100</v>
      </c>
      <c r="L2643" s="1" t="s">
        <v>6263</v>
      </c>
      <c r="M2643" t="s">
        <v>1097</v>
      </c>
      <c r="N2643">
        <v>3</v>
      </c>
    </row>
    <row r="2644" spans="1:14" x14ac:dyDescent="0.25">
      <c r="A2644" s="3" t="str">
        <f>HYPERLINK("http://www.ncbi.nlm.nih.gov/gene/4689","4689")</f>
        <v>4689</v>
      </c>
      <c r="B2644" s="1" t="s">
        <v>6265</v>
      </c>
      <c r="C2644" t="s">
        <v>6266</v>
      </c>
      <c r="D2644">
        <v>171.4</v>
      </c>
      <c r="E2644">
        <v>168.1</v>
      </c>
      <c r="F2644">
        <v>100</v>
      </c>
      <c r="G2644">
        <v>100</v>
      </c>
      <c r="H2644">
        <v>188.2</v>
      </c>
      <c r="I2644">
        <v>194</v>
      </c>
      <c r="J2644">
        <v>100</v>
      </c>
      <c r="K2644">
        <v>100</v>
      </c>
      <c r="L2644" s="1" t="s">
        <v>6265</v>
      </c>
      <c r="M2644" t="s">
        <v>1097</v>
      </c>
      <c r="N2644">
        <v>3</v>
      </c>
    </row>
    <row r="2645" spans="1:14" x14ac:dyDescent="0.25">
      <c r="A2645" s="3" t="str">
        <f>HYPERLINK("http://www.ncbi.nlm.nih.gov/gene/3071","3071")</f>
        <v>3071</v>
      </c>
      <c r="B2645" s="1" t="s">
        <v>6267</v>
      </c>
      <c r="C2645" t="s">
        <v>6268</v>
      </c>
      <c r="D2645">
        <v>143.4</v>
      </c>
      <c r="E2645">
        <v>146.5</v>
      </c>
      <c r="F2645">
        <v>100</v>
      </c>
      <c r="G2645">
        <v>99.9</v>
      </c>
      <c r="H2645">
        <v>122.3</v>
      </c>
      <c r="I2645">
        <v>125</v>
      </c>
      <c r="J2645">
        <v>100</v>
      </c>
      <c r="K2645">
        <v>100</v>
      </c>
      <c r="L2645" s="1" t="s">
        <v>6267</v>
      </c>
      <c r="M2645" t="s">
        <v>502</v>
      </c>
      <c r="N2645">
        <v>2</v>
      </c>
    </row>
    <row r="2646" spans="1:14" x14ac:dyDescent="0.25">
      <c r="A2646" s="3" t="str">
        <f>HYPERLINK("http://www.ncbi.nlm.nih.gov/gene/8202","8202")</f>
        <v>8202</v>
      </c>
      <c r="B2646" s="1" t="s">
        <v>6269</v>
      </c>
      <c r="C2646" t="s">
        <v>6270</v>
      </c>
      <c r="D2646">
        <v>152.1</v>
      </c>
      <c r="E2646">
        <v>155.30000000000001</v>
      </c>
      <c r="F2646">
        <v>99.6</v>
      </c>
      <c r="G2646">
        <v>97.4</v>
      </c>
      <c r="H2646">
        <v>148.30000000000001</v>
      </c>
      <c r="I2646">
        <v>152.30000000000001</v>
      </c>
      <c r="J2646">
        <v>100</v>
      </c>
      <c r="K2646">
        <v>100</v>
      </c>
      <c r="L2646" s="1" t="s">
        <v>6269</v>
      </c>
      <c r="M2646" t="s">
        <v>76</v>
      </c>
      <c r="N2646">
        <v>2</v>
      </c>
    </row>
    <row r="2647" spans="1:14" x14ac:dyDescent="0.25">
      <c r="A2647" s="3" t="str">
        <f>HYPERLINK("http://www.ncbi.nlm.nih.gov/gene/8031","8031")</f>
        <v>8031</v>
      </c>
      <c r="B2647" s="1" t="s">
        <v>6271</v>
      </c>
      <c r="C2647" t="s">
        <v>6272</v>
      </c>
      <c r="D2647">
        <v>116.6</v>
      </c>
      <c r="E2647">
        <v>119.9</v>
      </c>
      <c r="F2647">
        <v>96.4</v>
      </c>
      <c r="G2647">
        <v>93</v>
      </c>
      <c r="H2647">
        <v>149.80000000000001</v>
      </c>
      <c r="I2647">
        <v>151.69999999999999</v>
      </c>
      <c r="J2647">
        <v>100</v>
      </c>
      <c r="K2647">
        <v>100</v>
      </c>
      <c r="L2647" s="1" t="s">
        <v>6271</v>
      </c>
      <c r="M2647" t="s">
        <v>62</v>
      </c>
      <c r="N2647">
        <v>2</v>
      </c>
    </row>
    <row r="2648" spans="1:14" x14ac:dyDescent="0.25">
      <c r="A2648" s="3" t="str">
        <f>HYPERLINK("http://www.ncbi.nlm.nih.gov/gene/23385","23385")</f>
        <v>23385</v>
      </c>
      <c r="B2648" s="1" t="s">
        <v>6273</v>
      </c>
      <c r="C2648" t="s">
        <v>6274</v>
      </c>
      <c r="D2648">
        <v>105.4</v>
      </c>
      <c r="E2648">
        <v>107.5</v>
      </c>
      <c r="F2648">
        <v>100</v>
      </c>
      <c r="G2648">
        <v>99.8</v>
      </c>
      <c r="H2648">
        <v>141.6</v>
      </c>
      <c r="I2648">
        <v>145.30000000000001</v>
      </c>
      <c r="J2648">
        <v>100</v>
      </c>
      <c r="K2648">
        <v>100</v>
      </c>
      <c r="L2648" s="1" t="s">
        <v>6273</v>
      </c>
      <c r="M2648" t="s">
        <v>627</v>
      </c>
      <c r="N2648">
        <v>3</v>
      </c>
    </row>
    <row r="2649" spans="1:14" x14ac:dyDescent="0.25">
      <c r="A2649" s="3" t="str">
        <f>HYPERLINK("http://www.ncbi.nlm.nih.gov/gene/54820","54820")</f>
        <v>54820</v>
      </c>
      <c r="B2649" s="1" t="s">
        <v>6275</v>
      </c>
      <c r="C2649" t="s">
        <v>6276</v>
      </c>
      <c r="D2649">
        <v>103.6</v>
      </c>
      <c r="E2649">
        <v>107.6</v>
      </c>
      <c r="F2649">
        <v>100</v>
      </c>
      <c r="G2649">
        <v>100</v>
      </c>
      <c r="H2649">
        <v>192.5</v>
      </c>
      <c r="I2649">
        <v>198.8</v>
      </c>
      <c r="J2649">
        <v>100</v>
      </c>
      <c r="K2649">
        <v>100</v>
      </c>
      <c r="L2649" s="1" t="s">
        <v>6275</v>
      </c>
      <c r="M2649" t="s">
        <v>228</v>
      </c>
      <c r="N2649">
        <v>3</v>
      </c>
    </row>
    <row r="2650" spans="1:14" x14ac:dyDescent="0.25">
      <c r="A2650" s="3" t="str">
        <f>HYPERLINK("http://www.ncbi.nlm.nih.gov/gene/4692","4692")</f>
        <v>4692</v>
      </c>
      <c r="B2650" s="1" t="s">
        <v>6277</v>
      </c>
      <c r="C2650" t="s">
        <v>6278</v>
      </c>
      <c r="D2650">
        <v>88.4</v>
      </c>
      <c r="E2650">
        <v>96.6</v>
      </c>
      <c r="F2650">
        <v>98.7</v>
      </c>
      <c r="G2650">
        <v>89.1</v>
      </c>
      <c r="H2650">
        <v>107.2</v>
      </c>
      <c r="I2650">
        <v>109</v>
      </c>
      <c r="J2650">
        <v>100</v>
      </c>
      <c r="K2650">
        <v>100</v>
      </c>
      <c r="L2650" s="1" t="s">
        <v>6277</v>
      </c>
      <c r="M2650" t="s">
        <v>285</v>
      </c>
      <c r="N2650">
        <v>1</v>
      </c>
    </row>
    <row r="2651" spans="1:14" x14ac:dyDescent="0.25">
      <c r="A2651" s="3" t="str">
        <f>HYPERLINK("http://www.ncbi.nlm.nih.gov/gene/4693","4693")</f>
        <v>4693</v>
      </c>
      <c r="B2651" s="1" t="s">
        <v>6279</v>
      </c>
      <c r="C2651" t="s">
        <v>6280</v>
      </c>
      <c r="D2651">
        <v>86.8</v>
      </c>
      <c r="E2651">
        <v>89</v>
      </c>
      <c r="F2651">
        <v>100</v>
      </c>
      <c r="G2651">
        <v>99.7</v>
      </c>
      <c r="H2651">
        <v>139.6</v>
      </c>
      <c r="I2651">
        <v>145.1</v>
      </c>
      <c r="J2651">
        <v>100</v>
      </c>
      <c r="K2651">
        <v>100</v>
      </c>
      <c r="L2651" s="1" t="s">
        <v>6279</v>
      </c>
      <c r="M2651" t="s">
        <v>6281</v>
      </c>
      <c r="N2651">
        <v>4</v>
      </c>
    </row>
    <row r="2652" spans="1:14" x14ac:dyDescent="0.25">
      <c r="A2652" s="3" t="str">
        <f>HYPERLINK("http://www.ncbi.nlm.nih.gov/gene/10397","10397")</f>
        <v>10397</v>
      </c>
      <c r="B2652" s="1" t="s">
        <v>6282</v>
      </c>
      <c r="C2652" t="s">
        <v>6283</v>
      </c>
      <c r="D2652">
        <v>133.19999999999999</v>
      </c>
      <c r="E2652">
        <v>133</v>
      </c>
      <c r="F2652">
        <v>100</v>
      </c>
      <c r="G2652">
        <v>100</v>
      </c>
      <c r="H2652">
        <v>165.8</v>
      </c>
      <c r="I2652">
        <v>169</v>
      </c>
      <c r="J2652">
        <v>100</v>
      </c>
      <c r="K2652">
        <v>100</v>
      </c>
      <c r="L2652" s="1" t="s">
        <v>6282</v>
      </c>
      <c r="M2652" t="s">
        <v>44</v>
      </c>
      <c r="N2652">
        <v>3</v>
      </c>
    </row>
    <row r="2653" spans="1:14" x14ac:dyDescent="0.25">
      <c r="A2653" s="3" t="str">
        <f>HYPERLINK("http://www.ncbi.nlm.nih.gov/gene/3340","3340")</f>
        <v>3340</v>
      </c>
      <c r="B2653" s="1" t="s">
        <v>6284</v>
      </c>
      <c r="C2653" t="s">
        <v>6285</v>
      </c>
      <c r="D2653">
        <v>193.8</v>
      </c>
      <c r="E2653">
        <v>190.5</v>
      </c>
      <c r="F2653">
        <v>100</v>
      </c>
      <c r="G2653">
        <v>100</v>
      </c>
      <c r="H2653">
        <v>138.30000000000001</v>
      </c>
      <c r="I2653">
        <v>142</v>
      </c>
      <c r="J2653">
        <v>100</v>
      </c>
      <c r="K2653">
        <v>100</v>
      </c>
      <c r="L2653" s="1" t="s">
        <v>6284</v>
      </c>
      <c r="M2653" t="s">
        <v>228</v>
      </c>
      <c r="N2653">
        <v>3</v>
      </c>
    </row>
    <row r="2654" spans="1:14" x14ac:dyDescent="0.25">
      <c r="A2654" s="3" t="str">
        <f>HYPERLINK("http://www.ncbi.nlm.nih.gov/gene/4694","4694")</f>
        <v>4694</v>
      </c>
      <c r="B2654" s="1" t="s">
        <v>6286</v>
      </c>
      <c r="C2654" t="s">
        <v>6287</v>
      </c>
      <c r="D2654">
        <v>193.6</v>
      </c>
      <c r="E2654">
        <v>196.4</v>
      </c>
      <c r="F2654">
        <v>99.9</v>
      </c>
      <c r="G2654">
        <v>99.3</v>
      </c>
      <c r="H2654">
        <v>122.7</v>
      </c>
      <c r="I2654">
        <v>124.6</v>
      </c>
      <c r="J2654">
        <v>100</v>
      </c>
      <c r="K2654">
        <v>100</v>
      </c>
      <c r="L2654" s="1" t="s">
        <v>6286</v>
      </c>
      <c r="M2654" t="s">
        <v>6288</v>
      </c>
      <c r="N2654">
        <v>4</v>
      </c>
    </row>
    <row r="2655" spans="1:14" x14ac:dyDescent="0.25">
      <c r="A2655" s="3" t="str">
        <f>HYPERLINK("http://www.ncbi.nlm.nih.gov/gene/4705","4705")</f>
        <v>4705</v>
      </c>
      <c r="B2655" s="1" t="s">
        <v>6289</v>
      </c>
      <c r="C2655" t="s">
        <v>6290</v>
      </c>
      <c r="D2655">
        <v>139.4</v>
      </c>
      <c r="E2655">
        <v>145.30000000000001</v>
      </c>
      <c r="F2655">
        <v>99.8</v>
      </c>
      <c r="G2655">
        <v>98.6</v>
      </c>
      <c r="H2655">
        <v>150.80000000000001</v>
      </c>
      <c r="I2655">
        <v>155.5</v>
      </c>
      <c r="J2655">
        <v>100</v>
      </c>
      <c r="K2655">
        <v>100</v>
      </c>
      <c r="L2655" s="1" t="s">
        <v>6289</v>
      </c>
      <c r="M2655" t="s">
        <v>766</v>
      </c>
      <c r="N2655">
        <v>3</v>
      </c>
    </row>
    <row r="2656" spans="1:14" x14ac:dyDescent="0.25">
      <c r="A2656" s="3" t="str">
        <f>HYPERLINK("http://www.ncbi.nlm.nih.gov/gene/126328","126328")</f>
        <v>126328</v>
      </c>
      <c r="B2656" s="1" t="s">
        <v>6291</v>
      </c>
      <c r="C2656" t="s">
        <v>6292</v>
      </c>
      <c r="D2656">
        <v>114.2</v>
      </c>
      <c r="E2656">
        <v>117.9</v>
      </c>
      <c r="F2656">
        <v>100</v>
      </c>
      <c r="G2656">
        <v>100</v>
      </c>
      <c r="H2656">
        <v>133.69999999999999</v>
      </c>
      <c r="I2656">
        <v>142.30000000000001</v>
      </c>
      <c r="J2656">
        <v>100</v>
      </c>
      <c r="K2656">
        <v>99.8</v>
      </c>
      <c r="L2656" s="1" t="s">
        <v>6291</v>
      </c>
      <c r="M2656" t="s">
        <v>1206</v>
      </c>
      <c r="N2656">
        <v>5</v>
      </c>
    </row>
    <row r="2657" spans="1:14" x14ac:dyDescent="0.25">
      <c r="A2657" s="3" t="str">
        <f>HYPERLINK("http://www.ncbi.nlm.nih.gov/gene/55967","55967")</f>
        <v>55967</v>
      </c>
      <c r="B2657" s="1" t="s">
        <v>6293</v>
      </c>
      <c r="C2657" t="s">
        <v>6294</v>
      </c>
      <c r="D2657">
        <v>190.3</v>
      </c>
      <c r="E2657">
        <v>198.9</v>
      </c>
      <c r="F2657">
        <v>100</v>
      </c>
      <c r="G2657">
        <v>100</v>
      </c>
      <c r="H2657">
        <v>162.4</v>
      </c>
      <c r="I2657">
        <v>167.5</v>
      </c>
      <c r="J2657">
        <v>100</v>
      </c>
      <c r="K2657">
        <v>100</v>
      </c>
      <c r="L2657" s="1" t="s">
        <v>6293</v>
      </c>
      <c r="M2657" t="s">
        <v>830</v>
      </c>
      <c r="N2657">
        <v>4</v>
      </c>
    </row>
    <row r="2658" spans="1:14" x14ac:dyDescent="0.25">
      <c r="A2658" s="3" t="str">
        <f>HYPERLINK("http://www.ncbi.nlm.nih.gov/gene/51079","51079")</f>
        <v>51079</v>
      </c>
      <c r="B2658" s="1" t="s">
        <v>6295</v>
      </c>
      <c r="C2658" t="s">
        <v>6296</v>
      </c>
      <c r="D2658">
        <v>118.6</v>
      </c>
      <c r="E2658">
        <v>122.5</v>
      </c>
      <c r="F2658">
        <v>92.2</v>
      </c>
      <c r="G2658">
        <v>89.2</v>
      </c>
      <c r="H2658">
        <v>134.5</v>
      </c>
      <c r="I2658">
        <v>138.1</v>
      </c>
      <c r="J2658">
        <v>100</v>
      </c>
      <c r="K2658">
        <v>100</v>
      </c>
      <c r="L2658" s="1" t="s">
        <v>6295</v>
      </c>
      <c r="M2658" t="s">
        <v>766</v>
      </c>
      <c r="N2658">
        <v>3</v>
      </c>
    </row>
    <row r="2659" spans="1:14" x14ac:dyDescent="0.25">
      <c r="A2659" s="3" t="str">
        <f>HYPERLINK("http://www.ncbi.nlm.nih.gov/gene/4695","4695")</f>
        <v>4695</v>
      </c>
      <c r="B2659" s="1" t="s">
        <v>6297</v>
      </c>
      <c r="C2659" t="s">
        <v>6298</v>
      </c>
      <c r="D2659">
        <v>123.5</v>
      </c>
      <c r="E2659">
        <v>127.1</v>
      </c>
      <c r="F2659">
        <v>100</v>
      </c>
      <c r="G2659">
        <v>100</v>
      </c>
      <c r="H2659">
        <v>140.4</v>
      </c>
      <c r="I2659">
        <v>142.6</v>
      </c>
      <c r="J2659">
        <v>100</v>
      </c>
      <c r="K2659">
        <v>100</v>
      </c>
      <c r="L2659" s="1" t="s">
        <v>6297</v>
      </c>
      <c r="M2659" t="s">
        <v>830</v>
      </c>
      <c r="N2659">
        <v>4</v>
      </c>
    </row>
    <row r="2660" spans="1:14" x14ac:dyDescent="0.25">
      <c r="A2660" s="3" t="str">
        <f>HYPERLINK("http://www.ncbi.nlm.nih.gov/gene/4696","4696")</f>
        <v>4696</v>
      </c>
      <c r="B2660" s="1" t="s">
        <v>6299</v>
      </c>
      <c r="C2660" t="s">
        <v>6300</v>
      </c>
      <c r="D2660">
        <v>139.19999999999999</v>
      </c>
      <c r="E2660">
        <v>139.80000000000001</v>
      </c>
      <c r="F2660">
        <v>89.1</v>
      </c>
      <c r="G2660">
        <v>87.9</v>
      </c>
      <c r="H2660">
        <v>196.5</v>
      </c>
      <c r="I2660">
        <v>200.9</v>
      </c>
      <c r="J2660">
        <v>88</v>
      </c>
      <c r="K2660">
        <v>87.9</v>
      </c>
      <c r="L2660" s="1" t="s">
        <v>6299</v>
      </c>
      <c r="M2660" t="s">
        <v>265</v>
      </c>
      <c r="N2660">
        <v>2</v>
      </c>
    </row>
    <row r="2661" spans="1:14" x14ac:dyDescent="0.25">
      <c r="A2661" s="3" t="str">
        <f>HYPERLINK("http://www.ncbi.nlm.nih.gov/gene/4697","4697")</f>
        <v>4697</v>
      </c>
      <c r="B2661" s="1" t="s">
        <v>6301</v>
      </c>
      <c r="C2661" t="s">
        <v>6302</v>
      </c>
      <c r="D2661">
        <v>93.7</v>
      </c>
      <c r="E2661">
        <v>93</v>
      </c>
      <c r="F2661">
        <v>100</v>
      </c>
      <c r="G2661">
        <v>96.4</v>
      </c>
      <c r="H2661">
        <v>122.1</v>
      </c>
      <c r="I2661">
        <v>123.4</v>
      </c>
      <c r="J2661">
        <v>100</v>
      </c>
      <c r="K2661">
        <v>100</v>
      </c>
      <c r="L2661" s="1" t="s">
        <v>6301</v>
      </c>
      <c r="M2661" t="s">
        <v>265</v>
      </c>
      <c r="N2661">
        <v>2</v>
      </c>
    </row>
    <row r="2662" spans="1:14" x14ac:dyDescent="0.25">
      <c r="A2662" s="3" t="str">
        <f>HYPERLINK("http://www.ncbi.nlm.nih.gov/gene/4698","4698")</f>
        <v>4698</v>
      </c>
      <c r="B2662" s="1" t="s">
        <v>6303</v>
      </c>
      <c r="C2662" t="s">
        <v>6304</v>
      </c>
      <c r="D2662">
        <v>80.099999999999994</v>
      </c>
      <c r="E2662">
        <v>79.8</v>
      </c>
      <c r="F2662">
        <v>96.5</v>
      </c>
      <c r="G2662">
        <v>81.8</v>
      </c>
      <c r="H2662">
        <v>121</v>
      </c>
      <c r="I2662">
        <v>122.8</v>
      </c>
      <c r="J2662">
        <v>100</v>
      </c>
      <c r="K2662">
        <v>100</v>
      </c>
      <c r="L2662" s="1" t="s">
        <v>6303</v>
      </c>
      <c r="M2662" t="s">
        <v>265</v>
      </c>
      <c r="N2662">
        <v>2</v>
      </c>
    </row>
    <row r="2663" spans="1:14" x14ac:dyDescent="0.25">
      <c r="A2663" s="3" t="str">
        <f>HYPERLINK("http://www.ncbi.nlm.nih.gov/gene/4700","4700")</f>
        <v>4700</v>
      </c>
      <c r="B2663" s="1" t="s">
        <v>6305</v>
      </c>
      <c r="C2663" t="s">
        <v>6306</v>
      </c>
      <c r="D2663">
        <v>201.6</v>
      </c>
      <c r="E2663">
        <v>206</v>
      </c>
      <c r="F2663">
        <v>100</v>
      </c>
      <c r="G2663">
        <v>100</v>
      </c>
      <c r="H2663">
        <v>196</v>
      </c>
      <c r="I2663">
        <v>201.4</v>
      </c>
      <c r="J2663">
        <v>100</v>
      </c>
      <c r="K2663">
        <v>100</v>
      </c>
      <c r="L2663" s="1" t="s">
        <v>6305</v>
      </c>
      <c r="M2663" t="s">
        <v>766</v>
      </c>
      <c r="N2663">
        <v>3</v>
      </c>
    </row>
    <row r="2664" spans="1:14" x14ac:dyDescent="0.25">
      <c r="A2664" s="3" t="str">
        <f>HYPERLINK("http://www.ncbi.nlm.nih.gov/gene/4701","4701")</f>
        <v>4701</v>
      </c>
      <c r="B2664" s="1" t="s">
        <v>6307</v>
      </c>
      <c r="C2664" t="s">
        <v>6308</v>
      </c>
      <c r="D2664">
        <v>117.8</v>
      </c>
      <c r="E2664">
        <v>119.6</v>
      </c>
      <c r="F2664">
        <v>100</v>
      </c>
      <c r="G2664">
        <v>99.9</v>
      </c>
      <c r="H2664">
        <v>118.7</v>
      </c>
      <c r="I2664">
        <v>120.2</v>
      </c>
      <c r="J2664">
        <v>100</v>
      </c>
      <c r="K2664">
        <v>100</v>
      </c>
      <c r="L2664" s="1" t="s">
        <v>6307</v>
      </c>
      <c r="M2664" t="s">
        <v>265</v>
      </c>
      <c r="N2664">
        <v>2</v>
      </c>
    </row>
    <row r="2665" spans="1:14" x14ac:dyDescent="0.25">
      <c r="A2665" s="3" t="str">
        <f>HYPERLINK("http://www.ncbi.nlm.nih.gov/gene/4702","4702")</f>
        <v>4702</v>
      </c>
      <c r="B2665" s="1" t="s">
        <v>6309</v>
      </c>
      <c r="C2665" t="s">
        <v>6310</v>
      </c>
      <c r="D2665">
        <v>153.1</v>
      </c>
      <c r="E2665">
        <v>163.5</v>
      </c>
      <c r="F2665">
        <v>100</v>
      </c>
      <c r="G2665">
        <v>99</v>
      </c>
      <c r="H2665">
        <v>139.6</v>
      </c>
      <c r="I2665">
        <v>144</v>
      </c>
      <c r="J2665">
        <v>100</v>
      </c>
      <c r="K2665">
        <v>100</v>
      </c>
      <c r="L2665" s="1" t="s">
        <v>6309</v>
      </c>
      <c r="M2665" t="s">
        <v>265</v>
      </c>
      <c r="N2665">
        <v>2</v>
      </c>
    </row>
    <row r="2666" spans="1:14" x14ac:dyDescent="0.25">
      <c r="A2666" s="3" t="str">
        <f>HYPERLINK("http://www.ncbi.nlm.nih.gov/gene/4704","4704")</f>
        <v>4704</v>
      </c>
      <c r="B2666" s="1" t="s">
        <v>6311</v>
      </c>
      <c r="C2666" t="s">
        <v>6312</v>
      </c>
      <c r="D2666">
        <v>112.2</v>
      </c>
      <c r="E2666">
        <v>115.5</v>
      </c>
      <c r="F2666">
        <v>99.9</v>
      </c>
      <c r="G2666">
        <v>96.5</v>
      </c>
      <c r="H2666">
        <v>130.9</v>
      </c>
      <c r="I2666">
        <v>135.19999999999999</v>
      </c>
      <c r="J2666">
        <v>100</v>
      </c>
      <c r="K2666">
        <v>100</v>
      </c>
      <c r="L2666" s="1" t="s">
        <v>6311</v>
      </c>
      <c r="M2666" t="s">
        <v>2059</v>
      </c>
      <c r="N2666">
        <v>4</v>
      </c>
    </row>
    <row r="2667" spans="1:14" x14ac:dyDescent="0.25">
      <c r="A2667" s="3" t="str">
        <f>HYPERLINK("http://www.ncbi.nlm.nih.gov/gene/4706","4706")</f>
        <v>4706</v>
      </c>
      <c r="B2667" s="1" t="s">
        <v>6313</v>
      </c>
      <c r="C2667" t="s">
        <v>6314</v>
      </c>
      <c r="D2667">
        <v>132.1</v>
      </c>
      <c r="E2667">
        <v>134.19999999999999</v>
      </c>
      <c r="F2667">
        <v>99.6</v>
      </c>
      <c r="G2667">
        <v>94.9</v>
      </c>
      <c r="H2667">
        <v>135</v>
      </c>
      <c r="I2667">
        <v>141.19999999999999</v>
      </c>
      <c r="J2667">
        <v>100</v>
      </c>
      <c r="K2667">
        <v>100</v>
      </c>
      <c r="L2667" s="1" t="s">
        <v>6313</v>
      </c>
      <c r="M2667" t="s">
        <v>265</v>
      </c>
      <c r="N2667">
        <v>2</v>
      </c>
    </row>
    <row r="2668" spans="1:14" x14ac:dyDescent="0.25">
      <c r="A2668" s="3" t="str">
        <f>HYPERLINK("http://www.ncbi.nlm.nih.gov/gene/51103","51103")</f>
        <v>51103</v>
      </c>
      <c r="B2668" s="1" t="s">
        <v>6315</v>
      </c>
      <c r="C2668" t="s">
        <v>6316</v>
      </c>
      <c r="D2668">
        <v>130.5</v>
      </c>
      <c r="E2668">
        <v>135.80000000000001</v>
      </c>
      <c r="F2668">
        <v>100</v>
      </c>
      <c r="G2668">
        <v>100</v>
      </c>
      <c r="H2668">
        <v>145.30000000000001</v>
      </c>
      <c r="I2668">
        <v>148.6</v>
      </c>
      <c r="J2668">
        <v>100</v>
      </c>
      <c r="K2668">
        <v>100</v>
      </c>
      <c r="L2668" s="1" t="s">
        <v>6315</v>
      </c>
      <c r="M2668" t="s">
        <v>6317</v>
      </c>
      <c r="N2668">
        <v>4</v>
      </c>
    </row>
    <row r="2669" spans="1:14" x14ac:dyDescent="0.25">
      <c r="A2669" s="3" t="str">
        <f>HYPERLINK("http://www.ncbi.nlm.nih.gov/gene/91942","91942")</f>
        <v>91942</v>
      </c>
      <c r="B2669" s="1" t="s">
        <v>6318</v>
      </c>
      <c r="C2669" t="s">
        <v>6319</v>
      </c>
      <c r="D2669">
        <v>60.5</v>
      </c>
      <c r="E2669">
        <v>63.6</v>
      </c>
      <c r="F2669">
        <v>95</v>
      </c>
      <c r="G2669">
        <v>83.4</v>
      </c>
      <c r="H2669">
        <v>120.1</v>
      </c>
      <c r="I2669">
        <v>124.6</v>
      </c>
      <c r="J2669">
        <v>100</v>
      </c>
      <c r="K2669">
        <v>99.9</v>
      </c>
      <c r="L2669" s="1" t="s">
        <v>6318</v>
      </c>
      <c r="M2669" t="s">
        <v>6317</v>
      </c>
      <c r="N2669">
        <v>4</v>
      </c>
    </row>
    <row r="2670" spans="1:14" x14ac:dyDescent="0.25">
      <c r="A2670" s="3" t="str">
        <f>HYPERLINK("http://www.ncbi.nlm.nih.gov/gene/25915","25915")</f>
        <v>25915</v>
      </c>
      <c r="B2670" s="1" t="s">
        <v>6320</v>
      </c>
      <c r="C2670" t="s">
        <v>6321</v>
      </c>
      <c r="D2670">
        <v>128.80000000000001</v>
      </c>
      <c r="E2670">
        <v>129.19999999999999</v>
      </c>
      <c r="F2670">
        <v>100</v>
      </c>
      <c r="G2670">
        <v>99.9</v>
      </c>
      <c r="H2670">
        <v>135.9</v>
      </c>
      <c r="I2670">
        <v>138.80000000000001</v>
      </c>
      <c r="J2670">
        <v>100</v>
      </c>
      <c r="K2670">
        <v>100</v>
      </c>
      <c r="L2670" s="1" t="s">
        <v>6320</v>
      </c>
      <c r="M2670" t="s">
        <v>1206</v>
      </c>
      <c r="N2670">
        <v>5</v>
      </c>
    </row>
    <row r="2671" spans="1:14" x14ac:dyDescent="0.25">
      <c r="A2671" s="3" t="str">
        <f>HYPERLINK("http://www.ncbi.nlm.nih.gov/gene/29078","29078")</f>
        <v>29078</v>
      </c>
      <c r="B2671" s="1" t="s">
        <v>6322</v>
      </c>
      <c r="C2671" t="s">
        <v>6323</v>
      </c>
      <c r="D2671">
        <v>134.9</v>
      </c>
      <c r="E2671">
        <v>141.6</v>
      </c>
      <c r="F2671">
        <v>99.8</v>
      </c>
      <c r="G2671">
        <v>98.2</v>
      </c>
      <c r="H2671">
        <v>117.3</v>
      </c>
      <c r="I2671">
        <v>119.9</v>
      </c>
      <c r="J2671">
        <v>100</v>
      </c>
      <c r="K2671">
        <v>100</v>
      </c>
      <c r="L2671" s="1" t="s">
        <v>6322</v>
      </c>
      <c r="M2671" t="s">
        <v>6317</v>
      </c>
      <c r="N2671">
        <v>4</v>
      </c>
    </row>
    <row r="2672" spans="1:14" x14ac:dyDescent="0.25">
      <c r="A2672" s="3" t="str">
        <f>HYPERLINK("http://www.ncbi.nlm.nih.gov/gene/79133","79133")</f>
        <v>79133</v>
      </c>
      <c r="B2672" s="1" t="s">
        <v>6324</v>
      </c>
      <c r="C2672" t="s">
        <v>6325</v>
      </c>
      <c r="D2672">
        <v>133.9</v>
      </c>
      <c r="E2672">
        <v>139</v>
      </c>
      <c r="F2672">
        <v>100</v>
      </c>
      <c r="G2672">
        <v>99.5</v>
      </c>
      <c r="H2672">
        <v>123.2</v>
      </c>
      <c r="I2672">
        <v>126.1</v>
      </c>
      <c r="J2672">
        <v>100</v>
      </c>
      <c r="K2672">
        <v>100</v>
      </c>
      <c r="L2672" s="1" t="s">
        <v>6324</v>
      </c>
      <c r="M2672" t="s">
        <v>1206</v>
      </c>
      <c r="N2672">
        <v>5</v>
      </c>
    </row>
    <row r="2673" spans="1:14" x14ac:dyDescent="0.25">
      <c r="A2673" s="3" t="str">
        <f>HYPERLINK("http://www.ncbi.nlm.nih.gov/gene/137682","137682")</f>
        <v>137682</v>
      </c>
      <c r="B2673" s="1" t="s">
        <v>6326</v>
      </c>
      <c r="C2673" t="s">
        <v>6327</v>
      </c>
      <c r="D2673">
        <v>103.9</v>
      </c>
      <c r="E2673">
        <v>106.2</v>
      </c>
      <c r="F2673">
        <v>100</v>
      </c>
      <c r="G2673">
        <v>96.8</v>
      </c>
      <c r="H2673">
        <v>112</v>
      </c>
      <c r="I2673">
        <v>114</v>
      </c>
      <c r="J2673">
        <v>100</v>
      </c>
      <c r="K2673">
        <v>100</v>
      </c>
      <c r="L2673" s="1" t="s">
        <v>6326</v>
      </c>
      <c r="M2673" t="s">
        <v>766</v>
      </c>
      <c r="N2673">
        <v>3</v>
      </c>
    </row>
    <row r="2674" spans="1:14" x14ac:dyDescent="0.25">
      <c r="A2674" s="3" t="str">
        <f>HYPERLINK("http://www.ncbi.nlm.nih.gov/gene/55471","55471")</f>
        <v>55471</v>
      </c>
      <c r="B2674" s="1" t="s">
        <v>6328</v>
      </c>
      <c r="C2674" t="s">
        <v>6329</v>
      </c>
      <c r="D2674">
        <v>114.5</v>
      </c>
      <c r="E2674">
        <v>119.7</v>
      </c>
      <c r="F2674">
        <v>100</v>
      </c>
      <c r="G2674">
        <v>99.8</v>
      </c>
      <c r="H2674">
        <v>141.6</v>
      </c>
      <c r="I2674">
        <v>145.6</v>
      </c>
      <c r="J2674">
        <v>100</v>
      </c>
      <c r="K2674">
        <v>100</v>
      </c>
      <c r="L2674" s="1" t="s">
        <v>6328</v>
      </c>
      <c r="M2674" t="s">
        <v>265</v>
      </c>
      <c r="N2674">
        <v>2</v>
      </c>
    </row>
    <row r="2675" spans="1:14" x14ac:dyDescent="0.25">
      <c r="A2675" s="3" t="str">
        <f>HYPERLINK("http://www.ncbi.nlm.nih.gov/gene/284184","284184")</f>
        <v>284184</v>
      </c>
      <c r="B2675" s="1" t="s">
        <v>6330</v>
      </c>
      <c r="C2675" t="s">
        <v>6331</v>
      </c>
      <c r="D2675">
        <v>37.5</v>
      </c>
      <c r="E2675">
        <v>38</v>
      </c>
      <c r="F2675">
        <v>62.6</v>
      </c>
      <c r="G2675">
        <v>61.1</v>
      </c>
      <c r="H2675">
        <v>94.3</v>
      </c>
      <c r="I2675">
        <v>95.6</v>
      </c>
      <c r="J2675">
        <v>100</v>
      </c>
      <c r="K2675">
        <v>99.6</v>
      </c>
      <c r="L2675" s="1" t="s">
        <v>6330</v>
      </c>
      <c r="M2675" t="s">
        <v>1742</v>
      </c>
      <c r="N2675">
        <v>3</v>
      </c>
    </row>
    <row r="2676" spans="1:14" x14ac:dyDescent="0.25">
      <c r="A2676" s="3" t="str">
        <f>HYPERLINK("http://www.ncbi.nlm.nih.gov/gene/4707","4707")</f>
        <v>4707</v>
      </c>
      <c r="B2676" s="1" t="s">
        <v>6332</v>
      </c>
      <c r="C2676" t="s">
        <v>6333</v>
      </c>
      <c r="D2676">
        <v>56.3</v>
      </c>
      <c r="E2676">
        <v>59.9</v>
      </c>
      <c r="F2676">
        <v>78.2</v>
      </c>
      <c r="G2676">
        <v>57.8</v>
      </c>
      <c r="H2676">
        <v>167.4</v>
      </c>
      <c r="I2676">
        <v>172.9</v>
      </c>
      <c r="J2676">
        <v>100</v>
      </c>
      <c r="K2676">
        <v>100</v>
      </c>
      <c r="L2676" s="1" t="s">
        <v>6332</v>
      </c>
      <c r="M2676" t="s">
        <v>265</v>
      </c>
      <c r="N2676">
        <v>2</v>
      </c>
    </row>
    <row r="2677" spans="1:14" x14ac:dyDescent="0.25">
      <c r="A2677" s="3" t="str">
        <f>HYPERLINK("http://www.ncbi.nlm.nih.gov/gene/4716","4716")</f>
        <v>4716</v>
      </c>
      <c r="B2677" s="1" t="s">
        <v>6334</v>
      </c>
      <c r="C2677" t="s">
        <v>6335</v>
      </c>
      <c r="D2677">
        <v>164.1</v>
      </c>
      <c r="E2677">
        <v>170.8</v>
      </c>
      <c r="F2677">
        <v>100</v>
      </c>
      <c r="G2677">
        <v>100</v>
      </c>
      <c r="H2677">
        <v>130.9</v>
      </c>
      <c r="I2677">
        <v>132</v>
      </c>
      <c r="J2677">
        <v>100</v>
      </c>
      <c r="K2677">
        <v>100</v>
      </c>
      <c r="L2677" s="1" t="s">
        <v>6334</v>
      </c>
      <c r="M2677" t="s">
        <v>265</v>
      </c>
      <c r="N2677">
        <v>2</v>
      </c>
    </row>
    <row r="2678" spans="1:14" x14ac:dyDescent="0.25">
      <c r="A2678" s="3" t="str">
        <f>HYPERLINK("http://www.ncbi.nlm.nih.gov/gene/54539","54539")</f>
        <v>54539</v>
      </c>
      <c r="B2678" s="1" t="s">
        <v>6336</v>
      </c>
      <c r="C2678" t="s">
        <v>6337</v>
      </c>
      <c r="D2678">
        <v>105.8</v>
      </c>
      <c r="E2678">
        <v>108.7</v>
      </c>
      <c r="F2678">
        <v>99.5</v>
      </c>
      <c r="G2678">
        <v>96.5</v>
      </c>
      <c r="H2678">
        <v>113.5</v>
      </c>
      <c r="I2678">
        <v>116.9</v>
      </c>
      <c r="J2678">
        <v>100</v>
      </c>
      <c r="K2678">
        <v>99.5</v>
      </c>
      <c r="L2678" s="1" t="s">
        <v>6336</v>
      </c>
      <c r="M2678" t="s">
        <v>6338</v>
      </c>
      <c r="N2678">
        <v>5</v>
      </c>
    </row>
    <row r="2679" spans="1:14" x14ac:dyDescent="0.25">
      <c r="A2679" s="3" t="str">
        <f>HYPERLINK("http://www.ncbi.nlm.nih.gov/gene/4708","4708")</f>
        <v>4708</v>
      </c>
      <c r="B2679" s="1" t="s">
        <v>6339</v>
      </c>
      <c r="C2679" t="s">
        <v>6340</v>
      </c>
      <c r="D2679">
        <v>96.3</v>
      </c>
      <c r="E2679">
        <v>99.4</v>
      </c>
      <c r="F2679">
        <v>100</v>
      </c>
      <c r="G2679">
        <v>100</v>
      </c>
      <c r="H2679">
        <v>126.2</v>
      </c>
      <c r="I2679">
        <v>129.30000000000001</v>
      </c>
      <c r="J2679">
        <v>100</v>
      </c>
      <c r="K2679">
        <v>100</v>
      </c>
      <c r="L2679" s="1" t="s">
        <v>6339</v>
      </c>
      <c r="M2679" t="s">
        <v>265</v>
      </c>
      <c r="N2679">
        <v>2</v>
      </c>
    </row>
    <row r="2680" spans="1:14" x14ac:dyDescent="0.25">
      <c r="A2680" s="3" t="str">
        <f>HYPERLINK("http://www.ncbi.nlm.nih.gov/gene/4709","4709")</f>
        <v>4709</v>
      </c>
      <c r="B2680" s="1" t="s">
        <v>6341</v>
      </c>
      <c r="C2680" t="s">
        <v>6342</v>
      </c>
      <c r="D2680">
        <v>35.799999999999997</v>
      </c>
      <c r="E2680">
        <v>34.6</v>
      </c>
      <c r="F2680">
        <v>95.8</v>
      </c>
      <c r="G2680">
        <v>80.5</v>
      </c>
      <c r="H2680">
        <v>125.9</v>
      </c>
      <c r="I2680">
        <v>129.4</v>
      </c>
      <c r="J2680">
        <v>100</v>
      </c>
      <c r="K2680">
        <v>100</v>
      </c>
      <c r="L2680" s="1" t="s">
        <v>6341</v>
      </c>
      <c r="M2680" t="s">
        <v>6317</v>
      </c>
      <c r="N2680">
        <v>4</v>
      </c>
    </row>
    <row r="2681" spans="1:14" x14ac:dyDescent="0.25">
      <c r="A2681" s="3" t="str">
        <f>HYPERLINK("http://www.ncbi.nlm.nih.gov/gene/4710","4710")</f>
        <v>4710</v>
      </c>
      <c r="B2681" s="1" t="s">
        <v>6343</v>
      </c>
      <c r="C2681" t="s">
        <v>6344</v>
      </c>
      <c r="D2681">
        <v>127.6</v>
      </c>
      <c r="E2681">
        <v>129.5</v>
      </c>
      <c r="F2681">
        <v>90.2</v>
      </c>
      <c r="G2681">
        <v>85.2</v>
      </c>
      <c r="H2681">
        <v>131.4</v>
      </c>
      <c r="I2681">
        <v>135.80000000000001</v>
      </c>
      <c r="J2681">
        <v>100</v>
      </c>
      <c r="K2681">
        <v>100</v>
      </c>
      <c r="L2681" s="1" t="s">
        <v>6343</v>
      </c>
      <c r="M2681" t="s">
        <v>265</v>
      </c>
      <c r="N2681">
        <v>2</v>
      </c>
    </row>
    <row r="2682" spans="1:14" x14ac:dyDescent="0.25">
      <c r="A2682" s="3" t="str">
        <f>HYPERLINK("http://www.ncbi.nlm.nih.gov/gene/4711","4711")</f>
        <v>4711</v>
      </c>
      <c r="B2682" s="1" t="s">
        <v>6345</v>
      </c>
      <c r="C2682" t="s">
        <v>6346</v>
      </c>
      <c r="D2682">
        <v>119</v>
      </c>
      <c r="E2682">
        <v>122</v>
      </c>
      <c r="F2682">
        <v>100</v>
      </c>
      <c r="G2682">
        <v>100</v>
      </c>
      <c r="H2682">
        <v>130.1</v>
      </c>
      <c r="I2682">
        <v>132.80000000000001</v>
      </c>
      <c r="J2682">
        <v>100</v>
      </c>
      <c r="K2682">
        <v>100</v>
      </c>
      <c r="L2682" s="1" t="s">
        <v>6345</v>
      </c>
      <c r="M2682" t="s">
        <v>265</v>
      </c>
      <c r="N2682">
        <v>2</v>
      </c>
    </row>
    <row r="2683" spans="1:14" x14ac:dyDescent="0.25">
      <c r="A2683" s="3" t="str">
        <f>HYPERLINK("http://www.ncbi.nlm.nih.gov/gene/4712","4712")</f>
        <v>4712</v>
      </c>
      <c r="B2683" s="1" t="s">
        <v>6347</v>
      </c>
      <c r="C2683" t="s">
        <v>6348</v>
      </c>
      <c r="D2683">
        <v>54.6</v>
      </c>
      <c r="E2683">
        <v>58.3</v>
      </c>
      <c r="F2683">
        <v>98.4</v>
      </c>
      <c r="G2683">
        <v>88.4</v>
      </c>
      <c r="H2683">
        <v>142.6</v>
      </c>
      <c r="I2683">
        <v>147.69999999999999</v>
      </c>
      <c r="J2683">
        <v>100</v>
      </c>
      <c r="K2683">
        <v>100</v>
      </c>
      <c r="L2683" s="1" t="s">
        <v>6347</v>
      </c>
      <c r="M2683" t="s">
        <v>265</v>
      </c>
      <c r="N2683">
        <v>2</v>
      </c>
    </row>
    <row r="2684" spans="1:14" x14ac:dyDescent="0.25">
      <c r="A2684" s="3" t="str">
        <f>HYPERLINK("http://www.ncbi.nlm.nih.gov/gene/4713","4713")</f>
        <v>4713</v>
      </c>
      <c r="B2684" s="1" t="s">
        <v>6349</v>
      </c>
      <c r="C2684" t="s">
        <v>6350</v>
      </c>
      <c r="D2684">
        <v>84.8</v>
      </c>
      <c r="E2684">
        <v>87.1</v>
      </c>
      <c r="F2684">
        <v>99.8</v>
      </c>
      <c r="G2684">
        <v>94.8</v>
      </c>
      <c r="H2684">
        <v>150</v>
      </c>
      <c r="I2684">
        <v>154.19999999999999</v>
      </c>
      <c r="J2684">
        <v>100</v>
      </c>
      <c r="K2684">
        <v>100</v>
      </c>
      <c r="L2684" s="1" t="s">
        <v>6349</v>
      </c>
      <c r="M2684" t="s">
        <v>265</v>
      </c>
      <c r="N2684">
        <v>2</v>
      </c>
    </row>
    <row r="2685" spans="1:14" x14ac:dyDescent="0.25">
      <c r="A2685" s="3" t="str">
        <f>HYPERLINK("http://www.ncbi.nlm.nih.gov/gene/4714","4714")</f>
        <v>4714</v>
      </c>
      <c r="B2685" s="1" t="s">
        <v>6351</v>
      </c>
      <c r="C2685" t="s">
        <v>6352</v>
      </c>
      <c r="D2685">
        <v>112</v>
      </c>
      <c r="E2685">
        <v>114.9</v>
      </c>
      <c r="F2685">
        <v>100</v>
      </c>
      <c r="G2685">
        <v>99.9</v>
      </c>
      <c r="H2685">
        <v>128.9</v>
      </c>
      <c r="I2685">
        <v>131.4</v>
      </c>
      <c r="J2685">
        <v>100</v>
      </c>
      <c r="K2685">
        <v>100</v>
      </c>
      <c r="L2685" s="1" t="s">
        <v>6351</v>
      </c>
      <c r="M2685" t="s">
        <v>766</v>
      </c>
      <c r="N2685">
        <v>3</v>
      </c>
    </row>
    <row r="2686" spans="1:14" x14ac:dyDescent="0.25">
      <c r="A2686" s="3" t="str">
        <f>HYPERLINK("http://www.ncbi.nlm.nih.gov/gene/4715","4715")</f>
        <v>4715</v>
      </c>
      <c r="B2686" s="1" t="s">
        <v>6353</v>
      </c>
      <c r="C2686" t="s">
        <v>6354</v>
      </c>
      <c r="D2686">
        <v>99.5</v>
      </c>
      <c r="E2686">
        <v>106.8</v>
      </c>
      <c r="F2686">
        <v>96.5</v>
      </c>
      <c r="G2686">
        <v>92.5</v>
      </c>
      <c r="H2686">
        <v>131.19999999999999</v>
      </c>
      <c r="I2686">
        <v>135</v>
      </c>
      <c r="J2686">
        <v>98.7</v>
      </c>
      <c r="K2686">
        <v>98.7</v>
      </c>
      <c r="L2686" s="1" t="s">
        <v>6353</v>
      </c>
      <c r="M2686" t="s">
        <v>6317</v>
      </c>
      <c r="N2686">
        <v>4</v>
      </c>
    </row>
    <row r="2687" spans="1:14" x14ac:dyDescent="0.25">
      <c r="A2687" s="3" t="str">
        <f>HYPERLINK("http://www.ncbi.nlm.nih.gov/gene/4717","4717")</f>
        <v>4717</v>
      </c>
      <c r="B2687" s="1" t="s">
        <v>6355</v>
      </c>
      <c r="C2687" t="s">
        <v>6356</v>
      </c>
      <c r="D2687">
        <v>90.9</v>
      </c>
      <c r="E2687">
        <v>91.7</v>
      </c>
      <c r="F2687">
        <v>99.6</v>
      </c>
      <c r="G2687">
        <v>99.4</v>
      </c>
      <c r="H2687">
        <v>121.6</v>
      </c>
      <c r="I2687">
        <v>123.4</v>
      </c>
      <c r="J2687">
        <v>100</v>
      </c>
      <c r="K2687">
        <v>100</v>
      </c>
      <c r="L2687" s="1" t="s">
        <v>6355</v>
      </c>
      <c r="M2687" t="s">
        <v>265</v>
      </c>
      <c r="N2687">
        <v>2</v>
      </c>
    </row>
    <row r="2688" spans="1:14" x14ac:dyDescent="0.25">
      <c r="A2688" s="3" t="str">
        <f>HYPERLINK("http://www.ncbi.nlm.nih.gov/gene/4718","4718")</f>
        <v>4718</v>
      </c>
      <c r="B2688" s="1" t="s">
        <v>6357</v>
      </c>
      <c r="C2688" t="s">
        <v>6358</v>
      </c>
      <c r="D2688">
        <v>62.2</v>
      </c>
      <c r="E2688">
        <v>62.1</v>
      </c>
      <c r="F2688">
        <v>99.8</v>
      </c>
      <c r="G2688">
        <v>96</v>
      </c>
      <c r="H2688">
        <v>156.4</v>
      </c>
      <c r="I2688">
        <v>159.6</v>
      </c>
      <c r="J2688">
        <v>100</v>
      </c>
      <c r="K2688">
        <v>100</v>
      </c>
      <c r="L2688" s="1" t="s">
        <v>6357</v>
      </c>
      <c r="M2688" t="s">
        <v>265</v>
      </c>
      <c r="N2688">
        <v>2</v>
      </c>
    </row>
    <row r="2689" spans="1:14" x14ac:dyDescent="0.25">
      <c r="A2689" s="3" t="str">
        <f>HYPERLINK("http://www.ncbi.nlm.nih.gov/gene/4719","4719")</f>
        <v>4719</v>
      </c>
      <c r="B2689" s="1" t="s">
        <v>6359</v>
      </c>
      <c r="C2689" t="s">
        <v>6360</v>
      </c>
      <c r="D2689">
        <v>173.8</v>
      </c>
      <c r="E2689">
        <v>178.7</v>
      </c>
      <c r="F2689">
        <v>100</v>
      </c>
      <c r="G2689">
        <v>99.5</v>
      </c>
      <c r="H2689">
        <v>139.80000000000001</v>
      </c>
      <c r="I2689">
        <v>143.69999999999999</v>
      </c>
      <c r="J2689">
        <v>100</v>
      </c>
      <c r="K2689">
        <v>100</v>
      </c>
      <c r="L2689" s="1" t="s">
        <v>6359</v>
      </c>
      <c r="M2689" t="s">
        <v>1206</v>
      </c>
      <c r="N2689">
        <v>5</v>
      </c>
    </row>
    <row r="2690" spans="1:14" x14ac:dyDescent="0.25">
      <c r="A2690" s="3" t="str">
        <f>HYPERLINK("http://www.ncbi.nlm.nih.gov/gene/4720","4720")</f>
        <v>4720</v>
      </c>
      <c r="B2690" s="1" t="s">
        <v>6361</v>
      </c>
      <c r="C2690" t="s">
        <v>6362</v>
      </c>
      <c r="D2690">
        <v>115</v>
      </c>
      <c r="E2690">
        <v>118.5</v>
      </c>
      <c r="F2690">
        <v>100</v>
      </c>
      <c r="G2690">
        <v>100</v>
      </c>
      <c r="H2690">
        <v>119.5</v>
      </c>
      <c r="I2690">
        <v>122.3</v>
      </c>
      <c r="J2690">
        <v>100</v>
      </c>
      <c r="K2690">
        <v>100</v>
      </c>
      <c r="L2690" s="1" t="s">
        <v>6361</v>
      </c>
      <c r="M2690" t="s">
        <v>6363</v>
      </c>
      <c r="N2690">
        <v>6</v>
      </c>
    </row>
    <row r="2691" spans="1:14" x14ac:dyDescent="0.25">
      <c r="A2691" s="3" t="str">
        <f>HYPERLINK("http://www.ncbi.nlm.nih.gov/gene/4722","4722")</f>
        <v>4722</v>
      </c>
      <c r="B2691" s="1" t="s">
        <v>6364</v>
      </c>
      <c r="C2691" t="s">
        <v>6365</v>
      </c>
      <c r="D2691">
        <v>134.5</v>
      </c>
      <c r="E2691">
        <v>141.30000000000001</v>
      </c>
      <c r="F2691">
        <v>90.7</v>
      </c>
      <c r="G2691">
        <v>90.6</v>
      </c>
      <c r="H2691">
        <v>147.6</v>
      </c>
      <c r="I2691">
        <v>150.6</v>
      </c>
      <c r="J2691">
        <v>91.9</v>
      </c>
      <c r="K2691">
        <v>90.7</v>
      </c>
      <c r="L2691" s="1" t="s">
        <v>6364</v>
      </c>
      <c r="M2691" t="s">
        <v>1206</v>
      </c>
      <c r="N2691">
        <v>5</v>
      </c>
    </row>
    <row r="2692" spans="1:14" x14ac:dyDescent="0.25">
      <c r="A2692" s="3" t="str">
        <f>HYPERLINK("http://www.ncbi.nlm.nih.gov/gene/4724","4724")</f>
        <v>4724</v>
      </c>
      <c r="B2692" s="1" t="s">
        <v>6366</v>
      </c>
      <c r="C2692" t="s">
        <v>6367</v>
      </c>
      <c r="D2692">
        <v>183.6</v>
      </c>
      <c r="E2692">
        <v>190.8</v>
      </c>
      <c r="F2692">
        <v>100</v>
      </c>
      <c r="G2692">
        <v>99.4</v>
      </c>
      <c r="H2692">
        <v>114.8</v>
      </c>
      <c r="I2692">
        <v>117.5</v>
      </c>
      <c r="J2692">
        <v>100</v>
      </c>
      <c r="K2692">
        <v>100</v>
      </c>
      <c r="L2692" s="1" t="s">
        <v>6366</v>
      </c>
      <c r="M2692" t="s">
        <v>1206</v>
      </c>
      <c r="N2692">
        <v>5</v>
      </c>
    </row>
    <row r="2693" spans="1:14" x14ac:dyDescent="0.25">
      <c r="A2693" s="3" t="str">
        <f>HYPERLINK("http://www.ncbi.nlm.nih.gov/gene/4725","4725")</f>
        <v>4725</v>
      </c>
      <c r="B2693" s="1" t="s">
        <v>6368</v>
      </c>
      <c r="C2693" t="s">
        <v>6369</v>
      </c>
      <c r="D2693">
        <v>144.19999999999999</v>
      </c>
      <c r="E2693">
        <v>141.80000000000001</v>
      </c>
      <c r="F2693">
        <v>100</v>
      </c>
      <c r="G2693">
        <v>100</v>
      </c>
      <c r="H2693">
        <v>80.599999999999994</v>
      </c>
      <c r="I2693">
        <v>82.6</v>
      </c>
      <c r="J2693">
        <v>100</v>
      </c>
      <c r="K2693">
        <v>100</v>
      </c>
      <c r="L2693" s="1" t="s">
        <v>6368</v>
      </c>
      <c r="M2693" t="s">
        <v>265</v>
      </c>
      <c r="N2693">
        <v>2</v>
      </c>
    </row>
    <row r="2694" spans="1:14" x14ac:dyDescent="0.25">
      <c r="A2694" s="3" t="str">
        <f>HYPERLINK("http://www.ncbi.nlm.nih.gov/gene/4726","4726")</f>
        <v>4726</v>
      </c>
      <c r="B2694" s="1" t="s">
        <v>6370</v>
      </c>
      <c r="C2694" t="s">
        <v>6371</v>
      </c>
      <c r="D2694">
        <v>132</v>
      </c>
      <c r="E2694">
        <v>138.19999999999999</v>
      </c>
      <c r="F2694">
        <v>100</v>
      </c>
      <c r="G2694">
        <v>99.9</v>
      </c>
      <c r="H2694">
        <v>155</v>
      </c>
      <c r="I2694">
        <v>158.19999999999999</v>
      </c>
      <c r="J2694">
        <v>100</v>
      </c>
      <c r="K2694">
        <v>100</v>
      </c>
      <c r="L2694" s="1" t="s">
        <v>6370</v>
      </c>
      <c r="M2694" t="s">
        <v>1206</v>
      </c>
      <c r="N2694">
        <v>5</v>
      </c>
    </row>
    <row r="2695" spans="1:14" x14ac:dyDescent="0.25">
      <c r="A2695" s="3" t="str">
        <f>HYPERLINK("http://www.ncbi.nlm.nih.gov/gene/374291","374291")</f>
        <v>374291</v>
      </c>
      <c r="B2695" s="1" t="s">
        <v>6372</v>
      </c>
      <c r="C2695" t="s">
        <v>6373</v>
      </c>
      <c r="D2695">
        <v>119.4</v>
      </c>
      <c r="E2695">
        <v>125.4</v>
      </c>
      <c r="F2695">
        <v>100</v>
      </c>
      <c r="G2695">
        <v>99.2</v>
      </c>
      <c r="H2695">
        <v>171</v>
      </c>
      <c r="I2695">
        <v>176.5</v>
      </c>
      <c r="J2695">
        <v>100</v>
      </c>
      <c r="K2695">
        <v>100</v>
      </c>
      <c r="L2695" s="1" t="s">
        <v>6372</v>
      </c>
      <c r="M2695" t="s">
        <v>830</v>
      </c>
      <c r="N2695">
        <v>4</v>
      </c>
    </row>
    <row r="2696" spans="1:14" x14ac:dyDescent="0.25">
      <c r="A2696" s="3" t="str">
        <f>HYPERLINK("http://www.ncbi.nlm.nih.gov/gene/4728","4728")</f>
        <v>4728</v>
      </c>
      <c r="B2696" s="1" t="s">
        <v>6374</v>
      </c>
      <c r="C2696" t="s">
        <v>6375</v>
      </c>
      <c r="D2696">
        <v>131.9</v>
      </c>
      <c r="E2696">
        <v>134</v>
      </c>
      <c r="F2696">
        <v>100</v>
      </c>
      <c r="G2696">
        <v>99.4</v>
      </c>
      <c r="H2696">
        <v>114.4</v>
      </c>
      <c r="I2696">
        <v>116.9</v>
      </c>
      <c r="J2696">
        <v>100</v>
      </c>
      <c r="K2696">
        <v>100</v>
      </c>
      <c r="L2696" s="1" t="s">
        <v>6374</v>
      </c>
      <c r="M2696" t="s">
        <v>830</v>
      </c>
      <c r="N2696">
        <v>4</v>
      </c>
    </row>
    <row r="2697" spans="1:14" x14ac:dyDescent="0.25">
      <c r="A2697" s="3" t="str">
        <f>HYPERLINK("http://www.ncbi.nlm.nih.gov/gene/4723","4723")</f>
        <v>4723</v>
      </c>
      <c r="B2697" s="1" t="s">
        <v>6376</v>
      </c>
      <c r="C2697" t="s">
        <v>6377</v>
      </c>
      <c r="D2697">
        <v>151</v>
      </c>
      <c r="E2697">
        <v>158.4</v>
      </c>
      <c r="F2697">
        <v>98</v>
      </c>
      <c r="G2697">
        <v>96.1</v>
      </c>
      <c r="H2697">
        <v>142.80000000000001</v>
      </c>
      <c r="I2697">
        <v>146.80000000000001</v>
      </c>
      <c r="J2697">
        <v>100</v>
      </c>
      <c r="K2697">
        <v>100</v>
      </c>
      <c r="L2697" s="1" t="s">
        <v>6376</v>
      </c>
      <c r="M2697" t="s">
        <v>1206</v>
      </c>
      <c r="N2697">
        <v>5</v>
      </c>
    </row>
    <row r="2698" spans="1:14" x14ac:dyDescent="0.25">
      <c r="A2698" s="3" t="str">
        <f>HYPERLINK("http://www.ncbi.nlm.nih.gov/gene/4729","4729")</f>
        <v>4729</v>
      </c>
      <c r="B2698" s="1" t="s">
        <v>6378</v>
      </c>
      <c r="C2698" t="s">
        <v>6379</v>
      </c>
      <c r="D2698">
        <v>80.8</v>
      </c>
      <c r="E2698">
        <v>84.9</v>
      </c>
      <c r="F2698">
        <v>86.9</v>
      </c>
      <c r="G2698">
        <v>76.900000000000006</v>
      </c>
      <c r="H2698">
        <v>110.5</v>
      </c>
      <c r="I2698">
        <v>112.8</v>
      </c>
      <c r="J2698">
        <v>100</v>
      </c>
      <c r="K2698">
        <v>100</v>
      </c>
      <c r="L2698" s="1" t="s">
        <v>6378</v>
      </c>
      <c r="M2698" t="s">
        <v>1206</v>
      </c>
      <c r="N2698">
        <v>5</v>
      </c>
    </row>
    <row r="2699" spans="1:14" x14ac:dyDescent="0.25">
      <c r="A2699" s="3" t="str">
        <f>HYPERLINK("http://www.ncbi.nlm.nih.gov/gene/4731","4731")</f>
        <v>4731</v>
      </c>
      <c r="B2699" s="1" t="s">
        <v>6380</v>
      </c>
      <c r="C2699" t="s">
        <v>6381</v>
      </c>
      <c r="D2699">
        <v>156</v>
      </c>
      <c r="E2699">
        <v>153.19999999999999</v>
      </c>
      <c r="F2699">
        <v>99.8</v>
      </c>
      <c r="G2699">
        <v>98</v>
      </c>
      <c r="H2699">
        <v>129.69999999999999</v>
      </c>
      <c r="I2699">
        <v>130.80000000000001</v>
      </c>
      <c r="J2699">
        <v>100</v>
      </c>
      <c r="K2699">
        <v>100</v>
      </c>
      <c r="L2699" s="1" t="s">
        <v>6380</v>
      </c>
      <c r="M2699" t="s">
        <v>265</v>
      </c>
      <c r="N2699">
        <v>2</v>
      </c>
    </row>
    <row r="2700" spans="1:14" x14ac:dyDescent="0.25">
      <c r="A2700" s="3" t="str">
        <f>HYPERLINK("http://www.ncbi.nlm.nih.gov/gene/4703","4703")</f>
        <v>4703</v>
      </c>
      <c r="B2700" s="1" t="s">
        <v>6382</v>
      </c>
      <c r="C2700" t="s">
        <v>6383</v>
      </c>
      <c r="D2700">
        <v>122.1</v>
      </c>
      <c r="E2700">
        <v>125.5</v>
      </c>
      <c r="F2700">
        <v>83</v>
      </c>
      <c r="G2700">
        <v>82.6</v>
      </c>
      <c r="H2700">
        <v>159.9</v>
      </c>
      <c r="I2700">
        <v>165.3</v>
      </c>
      <c r="J2700">
        <v>99.9</v>
      </c>
      <c r="K2700">
        <v>99.9</v>
      </c>
      <c r="L2700" s="1" t="s">
        <v>6382</v>
      </c>
      <c r="M2700" t="s">
        <v>1147</v>
      </c>
      <c r="N2700">
        <v>4</v>
      </c>
    </row>
    <row r="2701" spans="1:14" x14ac:dyDescent="0.25">
      <c r="A2701" s="3" t="str">
        <f>HYPERLINK("http://www.ncbi.nlm.nih.gov/gene/10529","10529")</f>
        <v>10529</v>
      </c>
      <c r="B2701" s="1" t="s">
        <v>6384</v>
      </c>
      <c r="C2701" t="s">
        <v>6385</v>
      </c>
      <c r="D2701">
        <v>121.4</v>
      </c>
      <c r="E2701">
        <v>123.7</v>
      </c>
      <c r="F2701">
        <v>99.2</v>
      </c>
      <c r="G2701">
        <v>97.1</v>
      </c>
      <c r="H2701">
        <v>136.19999999999999</v>
      </c>
      <c r="I2701">
        <v>140</v>
      </c>
      <c r="J2701">
        <v>100</v>
      </c>
      <c r="K2701">
        <v>100</v>
      </c>
      <c r="L2701" s="1" t="s">
        <v>6384</v>
      </c>
      <c r="M2701" t="s">
        <v>197</v>
      </c>
      <c r="N2701">
        <v>2</v>
      </c>
    </row>
    <row r="2702" spans="1:14" x14ac:dyDescent="0.25">
      <c r="A2702" s="3" t="str">
        <f>HYPERLINK("http://www.ncbi.nlm.nih.gov/gene/25977","25977")</f>
        <v>25977</v>
      </c>
      <c r="B2702" s="1" t="s">
        <v>6386</v>
      </c>
      <c r="C2702" t="s">
        <v>6387</v>
      </c>
      <c r="D2702">
        <v>122.1</v>
      </c>
      <c r="E2702">
        <v>124.2</v>
      </c>
      <c r="F2702">
        <v>100</v>
      </c>
      <c r="G2702">
        <v>100</v>
      </c>
      <c r="H2702">
        <v>138</v>
      </c>
      <c r="I2702">
        <v>141</v>
      </c>
      <c r="J2702">
        <v>100</v>
      </c>
      <c r="K2702">
        <v>100</v>
      </c>
      <c r="L2702" s="1" t="s">
        <v>6386</v>
      </c>
      <c r="M2702" t="s">
        <v>2040</v>
      </c>
      <c r="N2702">
        <v>3</v>
      </c>
    </row>
    <row r="2703" spans="1:14" x14ac:dyDescent="0.25">
      <c r="A2703" s="3" t="str">
        <f>HYPERLINK("http://www.ncbi.nlm.nih.gov/gene/5818","5818")</f>
        <v>5818</v>
      </c>
      <c r="B2703" s="1" t="s">
        <v>6388</v>
      </c>
      <c r="C2703" t="s">
        <v>6389</v>
      </c>
      <c r="D2703">
        <v>130.5</v>
      </c>
      <c r="E2703">
        <v>135.30000000000001</v>
      </c>
      <c r="F2703">
        <v>100</v>
      </c>
      <c r="G2703">
        <v>99.9</v>
      </c>
      <c r="H2703">
        <v>155.19999999999999</v>
      </c>
      <c r="I2703">
        <v>158.5</v>
      </c>
      <c r="J2703">
        <v>100</v>
      </c>
      <c r="K2703">
        <v>100</v>
      </c>
      <c r="L2703" s="1" t="s">
        <v>6388</v>
      </c>
      <c r="M2703" t="s">
        <v>6390</v>
      </c>
      <c r="N2703">
        <v>5</v>
      </c>
    </row>
    <row r="2704" spans="1:14" x14ac:dyDescent="0.25">
      <c r="A2704" s="3" t="str">
        <f>HYPERLINK("http://www.ncbi.nlm.nih.gov/gene/81607","81607")</f>
        <v>81607</v>
      </c>
      <c r="B2704" s="1" t="s">
        <v>6391</v>
      </c>
      <c r="C2704" t="s">
        <v>6392</v>
      </c>
      <c r="D2704">
        <v>125.7</v>
      </c>
      <c r="E2704">
        <v>130.4</v>
      </c>
      <c r="F2704">
        <v>100</v>
      </c>
      <c r="G2704">
        <v>100</v>
      </c>
      <c r="H2704">
        <v>153.9</v>
      </c>
      <c r="I2704">
        <v>157.9</v>
      </c>
      <c r="J2704">
        <v>100</v>
      </c>
      <c r="K2704">
        <v>100</v>
      </c>
      <c r="L2704" s="1" t="s">
        <v>6391</v>
      </c>
      <c r="M2704" t="s">
        <v>246</v>
      </c>
      <c r="N2704">
        <v>3</v>
      </c>
    </row>
    <row r="2705" spans="1:14" x14ac:dyDescent="0.25">
      <c r="A2705" s="3" t="str">
        <f>HYPERLINK("http://www.ncbi.nlm.nih.gov/gene/23327","23327")</f>
        <v>23327</v>
      </c>
      <c r="B2705" s="1" t="s">
        <v>6393</v>
      </c>
      <c r="C2705" t="s">
        <v>6394</v>
      </c>
      <c r="D2705">
        <v>113.2</v>
      </c>
      <c r="E2705">
        <v>116.7</v>
      </c>
      <c r="F2705">
        <v>72</v>
      </c>
      <c r="G2705">
        <v>71.5</v>
      </c>
      <c r="H2705">
        <v>134.1</v>
      </c>
      <c r="I2705">
        <v>136.4</v>
      </c>
      <c r="J2705">
        <v>100</v>
      </c>
      <c r="K2705">
        <v>100</v>
      </c>
      <c r="L2705" s="1" t="s">
        <v>6393</v>
      </c>
      <c r="M2705" t="s">
        <v>4943</v>
      </c>
      <c r="N2705">
        <v>4</v>
      </c>
    </row>
    <row r="2706" spans="1:14" x14ac:dyDescent="0.25">
      <c r="A2706" s="3" t="str">
        <f>HYPERLINK("http://www.ncbi.nlm.nih.gov/gene/4744","4744")</f>
        <v>4744</v>
      </c>
      <c r="B2706" s="1" t="s">
        <v>6395</v>
      </c>
      <c r="C2706" t="s">
        <v>6396</v>
      </c>
      <c r="D2706">
        <v>108.1</v>
      </c>
      <c r="E2706">
        <v>108</v>
      </c>
      <c r="F2706">
        <v>93.4</v>
      </c>
      <c r="G2706">
        <v>84.5</v>
      </c>
      <c r="H2706">
        <v>165.4</v>
      </c>
      <c r="I2706">
        <v>150.5</v>
      </c>
      <c r="J2706">
        <v>100</v>
      </c>
      <c r="K2706">
        <v>100</v>
      </c>
      <c r="L2706" s="1" t="s">
        <v>6395</v>
      </c>
      <c r="M2706" t="s">
        <v>6397</v>
      </c>
      <c r="N2706">
        <v>3</v>
      </c>
    </row>
    <row r="2707" spans="1:14" x14ac:dyDescent="0.25">
      <c r="A2707" s="3" t="str">
        <f>HYPERLINK("http://www.ncbi.nlm.nih.gov/gene/4747","4747")</f>
        <v>4747</v>
      </c>
      <c r="B2707" s="1" t="s">
        <v>6398</v>
      </c>
      <c r="C2707" t="s">
        <v>6399</v>
      </c>
      <c r="D2707">
        <v>166.8</v>
      </c>
      <c r="E2707">
        <v>153.5</v>
      </c>
      <c r="F2707">
        <v>99.9</v>
      </c>
      <c r="G2707">
        <v>98.2</v>
      </c>
      <c r="H2707">
        <v>146.69999999999999</v>
      </c>
      <c r="I2707">
        <v>147</v>
      </c>
      <c r="J2707">
        <v>100</v>
      </c>
      <c r="K2707">
        <v>100</v>
      </c>
      <c r="L2707" s="1" t="s">
        <v>6398</v>
      </c>
      <c r="M2707" t="s">
        <v>6400</v>
      </c>
      <c r="N2707">
        <v>3</v>
      </c>
    </row>
    <row r="2708" spans="1:14" x14ac:dyDescent="0.25">
      <c r="A2708" s="3" t="str">
        <f>HYPERLINK("http://www.ncbi.nlm.nih.gov/gene/4750","4750")</f>
        <v>4750</v>
      </c>
      <c r="B2708" s="1" t="s">
        <v>6401</v>
      </c>
      <c r="C2708" t="s">
        <v>6402</v>
      </c>
      <c r="D2708">
        <v>136.5</v>
      </c>
      <c r="E2708">
        <v>141.30000000000001</v>
      </c>
      <c r="F2708">
        <v>99.8</v>
      </c>
      <c r="G2708">
        <v>98</v>
      </c>
      <c r="H2708">
        <v>128</v>
      </c>
      <c r="I2708">
        <v>131.19999999999999</v>
      </c>
      <c r="J2708">
        <v>100</v>
      </c>
      <c r="K2708">
        <v>100</v>
      </c>
      <c r="L2708" s="1" t="s">
        <v>6401</v>
      </c>
      <c r="M2708" t="s">
        <v>6403</v>
      </c>
      <c r="N2708">
        <v>7</v>
      </c>
    </row>
    <row r="2709" spans="1:14" x14ac:dyDescent="0.25">
      <c r="A2709" s="3" t="str">
        <f>HYPERLINK("http://www.ncbi.nlm.nih.gov/gene/152110","152110")</f>
        <v>152110</v>
      </c>
      <c r="B2709" s="1" t="s">
        <v>6404</v>
      </c>
      <c r="C2709" t="s">
        <v>6405</v>
      </c>
      <c r="D2709">
        <v>106.9</v>
      </c>
      <c r="E2709">
        <v>109.5</v>
      </c>
      <c r="F2709">
        <v>99.5</v>
      </c>
      <c r="G2709">
        <v>96.7</v>
      </c>
      <c r="H2709">
        <v>135.69999999999999</v>
      </c>
      <c r="I2709">
        <v>138.5</v>
      </c>
      <c r="J2709">
        <v>100</v>
      </c>
      <c r="K2709">
        <v>100</v>
      </c>
      <c r="L2709" s="1" t="s">
        <v>6404</v>
      </c>
      <c r="M2709" t="s">
        <v>1462</v>
      </c>
      <c r="N2709">
        <v>2</v>
      </c>
    </row>
    <row r="2710" spans="1:14" x14ac:dyDescent="0.25">
      <c r="A2710" s="3" t="str">
        <f>HYPERLINK("http://www.ncbi.nlm.nih.gov/gene/79858","79858")</f>
        <v>79858</v>
      </c>
      <c r="B2710" s="1" t="s">
        <v>6406</v>
      </c>
      <c r="D2710">
        <v>135.1</v>
      </c>
      <c r="E2710">
        <v>139.6</v>
      </c>
      <c r="F2710">
        <v>99.9</v>
      </c>
      <c r="G2710">
        <v>98.8</v>
      </c>
      <c r="H2710">
        <v>120.9</v>
      </c>
      <c r="I2710">
        <v>124.2</v>
      </c>
      <c r="J2710">
        <v>100</v>
      </c>
      <c r="K2710">
        <v>100</v>
      </c>
      <c r="L2710" s="1" t="s">
        <v>6406</v>
      </c>
      <c r="M2710" t="s">
        <v>6407</v>
      </c>
      <c r="N2710">
        <v>3</v>
      </c>
    </row>
    <row r="2711" spans="1:14" x14ac:dyDescent="0.25">
      <c r="A2711" s="3" t="str">
        <f>HYPERLINK("http://www.ncbi.nlm.nih.gov/gene/4751","4751")</f>
        <v>4751</v>
      </c>
      <c r="B2711" s="1" t="s">
        <v>6408</v>
      </c>
      <c r="C2711" t="s">
        <v>6409</v>
      </c>
      <c r="D2711">
        <v>96.8</v>
      </c>
      <c r="E2711">
        <v>96.6</v>
      </c>
      <c r="F2711">
        <v>99.7</v>
      </c>
      <c r="G2711">
        <v>95.5</v>
      </c>
      <c r="H2711">
        <v>125.3</v>
      </c>
      <c r="I2711">
        <v>129.69999999999999</v>
      </c>
      <c r="J2711">
        <v>96.1</v>
      </c>
      <c r="K2711">
        <v>96.1</v>
      </c>
      <c r="L2711" s="1" t="s">
        <v>6408</v>
      </c>
      <c r="M2711" t="s">
        <v>6410</v>
      </c>
      <c r="N2711">
        <v>4</v>
      </c>
    </row>
    <row r="2712" spans="1:14" x14ac:dyDescent="0.25">
      <c r="A2712" s="3" t="str">
        <f>HYPERLINK("http://www.ncbi.nlm.nih.gov/gene/6787","6787")</f>
        <v>6787</v>
      </c>
      <c r="B2712" s="1" t="s">
        <v>6411</v>
      </c>
      <c r="C2712" t="s">
        <v>6412</v>
      </c>
      <c r="D2712">
        <v>145.9</v>
      </c>
      <c r="E2712">
        <v>152.80000000000001</v>
      </c>
      <c r="F2712">
        <v>96.9</v>
      </c>
      <c r="G2712">
        <v>94.8</v>
      </c>
      <c r="H2712">
        <v>137.30000000000001</v>
      </c>
      <c r="I2712">
        <v>142.30000000000001</v>
      </c>
      <c r="J2712">
        <v>94.6</v>
      </c>
      <c r="K2712">
        <v>94.6</v>
      </c>
      <c r="L2712" s="1" t="s">
        <v>6411</v>
      </c>
      <c r="M2712" t="s">
        <v>1462</v>
      </c>
      <c r="N2712">
        <v>2</v>
      </c>
    </row>
    <row r="2713" spans="1:14" x14ac:dyDescent="0.25">
      <c r="A2713" s="3" t="str">
        <f>HYPERLINK("http://www.ncbi.nlm.nih.gov/gene/284086","284086")</f>
        <v>284086</v>
      </c>
      <c r="B2713" s="1" t="s">
        <v>6413</v>
      </c>
      <c r="C2713" t="s">
        <v>6414</v>
      </c>
      <c r="D2713">
        <v>153.80000000000001</v>
      </c>
      <c r="E2713">
        <v>158.1</v>
      </c>
      <c r="F2713">
        <v>100</v>
      </c>
      <c r="G2713">
        <v>99.9</v>
      </c>
      <c r="H2713">
        <v>140</v>
      </c>
      <c r="I2713">
        <v>144.4</v>
      </c>
      <c r="J2713">
        <v>100</v>
      </c>
      <c r="K2713">
        <v>100</v>
      </c>
      <c r="L2713" s="1" t="s">
        <v>6413</v>
      </c>
      <c r="M2713" t="s">
        <v>4959</v>
      </c>
      <c r="N2713">
        <v>4</v>
      </c>
    </row>
    <row r="2714" spans="1:14" x14ac:dyDescent="0.25">
      <c r="A2714" s="3" t="str">
        <f>HYPERLINK("http://www.ncbi.nlm.nih.gov/gene/91754","91754")</f>
        <v>91754</v>
      </c>
      <c r="B2714" s="1" t="s">
        <v>6415</v>
      </c>
      <c r="C2714" t="s">
        <v>6416</v>
      </c>
      <c r="D2714">
        <v>126.6</v>
      </c>
      <c r="E2714">
        <v>131.30000000000001</v>
      </c>
      <c r="F2714">
        <v>100</v>
      </c>
      <c r="G2714">
        <v>99.6</v>
      </c>
      <c r="H2714">
        <v>132</v>
      </c>
      <c r="I2714">
        <v>136.5</v>
      </c>
      <c r="J2714">
        <v>100</v>
      </c>
      <c r="K2714">
        <v>100</v>
      </c>
      <c r="L2714" s="1" t="s">
        <v>6415</v>
      </c>
      <c r="M2714" t="s">
        <v>6417</v>
      </c>
      <c r="N2714">
        <v>5</v>
      </c>
    </row>
    <row r="2715" spans="1:14" x14ac:dyDescent="0.25">
      <c r="A2715" s="3" t="str">
        <f>HYPERLINK("http://www.ncbi.nlm.nih.gov/gene/9147","9147")</f>
        <v>9147</v>
      </c>
      <c r="B2715" s="1" t="s">
        <v>6418</v>
      </c>
      <c r="C2715" t="s">
        <v>6419</v>
      </c>
      <c r="D2715">
        <v>131.1</v>
      </c>
      <c r="E2715">
        <v>135.80000000000001</v>
      </c>
      <c r="F2715">
        <v>100</v>
      </c>
      <c r="G2715">
        <v>99.2</v>
      </c>
      <c r="H2715">
        <v>130.19999999999999</v>
      </c>
      <c r="I2715">
        <v>133.30000000000001</v>
      </c>
      <c r="J2715">
        <v>100</v>
      </c>
      <c r="K2715">
        <v>100</v>
      </c>
      <c r="L2715" s="1" t="s">
        <v>6418</v>
      </c>
      <c r="M2715" t="s">
        <v>725</v>
      </c>
      <c r="N2715">
        <v>2</v>
      </c>
    </row>
    <row r="2716" spans="1:14" x14ac:dyDescent="0.25">
      <c r="A2716" s="3" t="str">
        <f>HYPERLINK("http://www.ncbi.nlm.nih.gov/gene/25871","25871")</f>
        <v>25871</v>
      </c>
      <c r="B2716" s="1" t="s">
        <v>6420</v>
      </c>
      <c r="C2716" t="s">
        <v>6421</v>
      </c>
      <c r="D2716">
        <v>186.6</v>
      </c>
      <c r="E2716">
        <v>197.3</v>
      </c>
      <c r="F2716">
        <v>100</v>
      </c>
      <c r="G2716">
        <v>99.7</v>
      </c>
      <c r="H2716">
        <v>131</v>
      </c>
      <c r="I2716">
        <v>133.6</v>
      </c>
      <c r="J2716">
        <v>100</v>
      </c>
      <c r="K2716">
        <v>100</v>
      </c>
      <c r="L2716" s="1" t="s">
        <v>6420</v>
      </c>
      <c r="M2716" t="s">
        <v>53</v>
      </c>
      <c r="N2716">
        <v>2</v>
      </c>
    </row>
    <row r="2717" spans="1:14" x14ac:dyDescent="0.25">
      <c r="A2717" s="3" t="str">
        <f>HYPERLINK("http://www.ncbi.nlm.nih.gov/gene/4758","4758")</f>
        <v>4758</v>
      </c>
      <c r="B2717" s="1" t="s">
        <v>6422</v>
      </c>
      <c r="C2717" t="s">
        <v>6423</v>
      </c>
      <c r="D2717">
        <v>141.9</v>
      </c>
      <c r="E2717">
        <v>146.4</v>
      </c>
      <c r="F2717">
        <v>99.7</v>
      </c>
      <c r="G2717">
        <v>97.7</v>
      </c>
      <c r="H2717">
        <v>254.7</v>
      </c>
      <c r="I2717">
        <v>262.60000000000002</v>
      </c>
      <c r="J2717">
        <v>100</v>
      </c>
      <c r="K2717">
        <v>100</v>
      </c>
      <c r="L2717" s="1" t="s">
        <v>6422</v>
      </c>
      <c r="M2717" t="s">
        <v>6424</v>
      </c>
      <c r="N2717">
        <v>8</v>
      </c>
    </row>
    <row r="2718" spans="1:14" x14ac:dyDescent="0.25">
      <c r="A2718" s="3" t="str">
        <f>HYPERLINK("http://www.ncbi.nlm.nih.gov/gene/4760","4760")</f>
        <v>4760</v>
      </c>
      <c r="B2718" s="1" t="s">
        <v>6425</v>
      </c>
      <c r="C2718" t="s">
        <v>6426</v>
      </c>
      <c r="D2718">
        <v>141.5</v>
      </c>
      <c r="E2718">
        <v>152.80000000000001</v>
      </c>
      <c r="F2718">
        <v>100</v>
      </c>
      <c r="G2718">
        <v>99.1</v>
      </c>
      <c r="H2718">
        <v>148.1</v>
      </c>
      <c r="I2718">
        <v>141.80000000000001</v>
      </c>
      <c r="J2718">
        <v>100</v>
      </c>
      <c r="K2718">
        <v>100</v>
      </c>
      <c r="L2718" s="1" t="s">
        <v>6425</v>
      </c>
      <c r="M2718" t="s">
        <v>6427</v>
      </c>
      <c r="N2718">
        <v>2</v>
      </c>
    </row>
    <row r="2719" spans="1:14" x14ac:dyDescent="0.25">
      <c r="A2719" s="3" t="str">
        <f>HYPERLINK("http://www.ncbi.nlm.nih.gov/gene/4761","4761")</f>
        <v>4761</v>
      </c>
      <c r="B2719" s="1" t="s">
        <v>6428</v>
      </c>
      <c r="C2719" t="s">
        <v>6429</v>
      </c>
      <c r="D2719">
        <v>114.2</v>
      </c>
      <c r="E2719">
        <v>98</v>
      </c>
      <c r="F2719">
        <v>100</v>
      </c>
      <c r="G2719">
        <v>99.9</v>
      </c>
      <c r="H2719">
        <v>133.1</v>
      </c>
      <c r="I2719">
        <v>138.80000000000001</v>
      </c>
      <c r="J2719">
        <v>100</v>
      </c>
      <c r="K2719">
        <v>100</v>
      </c>
      <c r="L2719" s="1" t="s">
        <v>6428</v>
      </c>
      <c r="M2719" t="s">
        <v>285</v>
      </c>
      <c r="N2719">
        <v>1</v>
      </c>
    </row>
    <row r="2720" spans="1:14" x14ac:dyDescent="0.25">
      <c r="A2720" s="3" t="str">
        <f>HYPERLINK("http://www.ncbi.nlm.nih.gov/gene/50674","50674")</f>
        <v>50674</v>
      </c>
      <c r="B2720" s="1" t="s">
        <v>6430</v>
      </c>
      <c r="C2720" t="s">
        <v>6431</v>
      </c>
      <c r="D2720">
        <v>141.4</v>
      </c>
      <c r="E2720">
        <v>128.80000000000001</v>
      </c>
      <c r="F2720">
        <v>100</v>
      </c>
      <c r="G2720">
        <v>100</v>
      </c>
      <c r="H2720">
        <v>168.7</v>
      </c>
      <c r="I2720">
        <v>165.8</v>
      </c>
      <c r="J2720">
        <v>100</v>
      </c>
      <c r="K2720">
        <v>100</v>
      </c>
      <c r="L2720" s="1" t="s">
        <v>6430</v>
      </c>
      <c r="M2720" t="s">
        <v>53</v>
      </c>
      <c r="N2720">
        <v>2</v>
      </c>
    </row>
    <row r="2721" spans="1:14" x14ac:dyDescent="0.25">
      <c r="A2721" s="3" t="str">
        <f>HYPERLINK("http://www.ncbi.nlm.nih.gov/gene/340533","340533")</f>
        <v>340533</v>
      </c>
      <c r="B2721" s="1" t="s">
        <v>6432</v>
      </c>
      <c r="C2721" t="s">
        <v>6433</v>
      </c>
      <c r="D2721">
        <v>147.30000000000001</v>
      </c>
      <c r="E2721">
        <v>153</v>
      </c>
      <c r="F2721">
        <v>100</v>
      </c>
      <c r="G2721">
        <v>99.5</v>
      </c>
      <c r="H2721">
        <v>149.1</v>
      </c>
      <c r="I2721">
        <v>148.5</v>
      </c>
      <c r="J2721">
        <v>100</v>
      </c>
      <c r="K2721">
        <v>100</v>
      </c>
      <c r="L2721" s="1" t="s">
        <v>6432</v>
      </c>
      <c r="M2721" t="s">
        <v>6434</v>
      </c>
      <c r="N2721">
        <v>4</v>
      </c>
    </row>
    <row r="2722" spans="1:14" x14ac:dyDescent="0.25">
      <c r="A2722" s="3" t="str">
        <f>HYPERLINK("http://www.ncbi.nlm.nih.gov/gene/91624","91624")</f>
        <v>91624</v>
      </c>
      <c r="B2722" s="1" t="s">
        <v>6435</v>
      </c>
      <c r="C2722" t="s">
        <v>6436</v>
      </c>
      <c r="D2722">
        <v>79.8</v>
      </c>
      <c r="E2722">
        <v>85</v>
      </c>
      <c r="F2722">
        <v>92</v>
      </c>
      <c r="G2722">
        <v>77.5</v>
      </c>
      <c r="H2722">
        <v>97.6</v>
      </c>
      <c r="I2722">
        <v>100.2</v>
      </c>
      <c r="J2722">
        <v>100</v>
      </c>
      <c r="K2722">
        <v>99.9</v>
      </c>
      <c r="L2722" s="1" t="s">
        <v>6435</v>
      </c>
      <c r="M2722" t="s">
        <v>197</v>
      </c>
      <c r="N2722">
        <v>2</v>
      </c>
    </row>
    <row r="2723" spans="1:14" x14ac:dyDescent="0.25">
      <c r="A2723" s="3" t="str">
        <f>HYPERLINK("http://www.ncbi.nlm.nih.gov/gene/4763","4763")</f>
        <v>4763</v>
      </c>
      <c r="B2723" s="1" t="s">
        <v>6437</v>
      </c>
      <c r="C2723" t="s">
        <v>6438</v>
      </c>
      <c r="D2723">
        <v>129.80000000000001</v>
      </c>
      <c r="E2723">
        <v>131.80000000000001</v>
      </c>
      <c r="F2723">
        <v>92.6</v>
      </c>
      <c r="G2723">
        <v>90.2</v>
      </c>
      <c r="H2723">
        <v>131.69999999999999</v>
      </c>
      <c r="I2723">
        <v>135.5</v>
      </c>
      <c r="J2723">
        <v>100</v>
      </c>
      <c r="K2723">
        <v>100</v>
      </c>
      <c r="L2723" s="1" t="s">
        <v>6437</v>
      </c>
      <c r="M2723" t="s">
        <v>6439</v>
      </c>
      <c r="N2723">
        <v>6</v>
      </c>
    </row>
    <row r="2724" spans="1:14" x14ac:dyDescent="0.25">
      <c r="A2724" s="3" t="str">
        <f>HYPERLINK("http://www.ncbi.nlm.nih.gov/gene/4771","4771")</f>
        <v>4771</v>
      </c>
      <c r="B2724" s="1" t="s">
        <v>6440</v>
      </c>
      <c r="C2724" t="s">
        <v>6441</v>
      </c>
      <c r="D2724">
        <v>115.1</v>
      </c>
      <c r="E2724">
        <v>119.7</v>
      </c>
      <c r="F2724">
        <v>100</v>
      </c>
      <c r="G2724">
        <v>99.9</v>
      </c>
      <c r="H2724">
        <v>121.2</v>
      </c>
      <c r="I2724">
        <v>124.4</v>
      </c>
      <c r="J2724">
        <v>100</v>
      </c>
      <c r="K2724">
        <v>100</v>
      </c>
      <c r="L2724" s="1" t="s">
        <v>6440</v>
      </c>
      <c r="M2724" t="s">
        <v>6442</v>
      </c>
      <c r="N2724">
        <v>3</v>
      </c>
    </row>
    <row r="2725" spans="1:14" x14ac:dyDescent="0.25">
      <c r="A2725" s="3" t="str">
        <f>HYPERLINK("http://www.ncbi.nlm.nih.gov/gene/23114","23114")</f>
        <v>23114</v>
      </c>
      <c r="B2725" s="1" t="s">
        <v>6443</v>
      </c>
      <c r="C2725" t="s">
        <v>6444</v>
      </c>
      <c r="D2725">
        <v>133.80000000000001</v>
      </c>
      <c r="E2725">
        <v>139.4</v>
      </c>
      <c r="F2725">
        <v>100</v>
      </c>
      <c r="G2725">
        <v>99.9</v>
      </c>
      <c r="H2725">
        <v>143.80000000000001</v>
      </c>
      <c r="I2725">
        <v>148.30000000000001</v>
      </c>
      <c r="J2725">
        <v>100</v>
      </c>
      <c r="K2725">
        <v>100</v>
      </c>
      <c r="L2725" s="1" t="s">
        <v>6443</v>
      </c>
      <c r="M2725" t="s">
        <v>5525</v>
      </c>
      <c r="N2725">
        <v>3</v>
      </c>
    </row>
    <row r="2726" spans="1:14" x14ac:dyDescent="0.25">
      <c r="A2726" s="3" t="str">
        <f>HYPERLINK("http://www.ncbi.nlm.nih.gov/gene/10725","10725")</f>
        <v>10725</v>
      </c>
      <c r="B2726" s="1" t="s">
        <v>6445</v>
      </c>
      <c r="C2726" t="s">
        <v>6446</v>
      </c>
      <c r="D2726">
        <v>198.3</v>
      </c>
      <c r="E2726">
        <v>203.4</v>
      </c>
      <c r="F2726">
        <v>99.8</v>
      </c>
      <c r="G2726">
        <v>99.1</v>
      </c>
      <c r="H2726">
        <v>134.30000000000001</v>
      </c>
      <c r="I2726">
        <v>135.80000000000001</v>
      </c>
      <c r="J2726">
        <v>100</v>
      </c>
      <c r="K2726">
        <v>100</v>
      </c>
      <c r="L2726" s="1" t="s">
        <v>6445</v>
      </c>
      <c r="M2726" t="s">
        <v>562</v>
      </c>
      <c r="N2726">
        <v>2</v>
      </c>
    </row>
    <row r="2727" spans="1:14" x14ac:dyDescent="0.25">
      <c r="A2727" s="3" t="str">
        <f>HYPERLINK("http://www.ncbi.nlm.nih.gov/gene/4772","4772")</f>
        <v>4772</v>
      </c>
      <c r="B2727" s="1" t="s">
        <v>6447</v>
      </c>
      <c r="C2727" t="s">
        <v>6448</v>
      </c>
      <c r="D2727">
        <v>172.7</v>
      </c>
      <c r="E2727">
        <v>172.3</v>
      </c>
      <c r="F2727">
        <v>100</v>
      </c>
      <c r="G2727">
        <v>100</v>
      </c>
      <c r="H2727">
        <v>155.30000000000001</v>
      </c>
      <c r="I2727">
        <v>158.9</v>
      </c>
      <c r="J2727">
        <v>100</v>
      </c>
      <c r="K2727">
        <v>99.9</v>
      </c>
      <c r="L2727" s="1" t="s">
        <v>6447</v>
      </c>
      <c r="M2727" t="s">
        <v>562</v>
      </c>
      <c r="N2727">
        <v>2</v>
      </c>
    </row>
    <row r="2728" spans="1:14" x14ac:dyDescent="0.25">
      <c r="A2728" s="3" t="str">
        <f>HYPERLINK("http://www.ncbi.nlm.nih.gov/gene/4780","4780")</f>
        <v>4780</v>
      </c>
      <c r="B2728" s="1" t="s">
        <v>6449</v>
      </c>
      <c r="C2728" t="s">
        <v>6450</v>
      </c>
      <c r="D2728">
        <v>195.8</v>
      </c>
      <c r="E2728">
        <v>199.9</v>
      </c>
      <c r="F2728">
        <v>100</v>
      </c>
      <c r="G2728">
        <v>99.9</v>
      </c>
      <c r="H2728">
        <v>136.9</v>
      </c>
      <c r="I2728">
        <v>138.80000000000001</v>
      </c>
      <c r="J2728">
        <v>100</v>
      </c>
      <c r="K2728">
        <v>100</v>
      </c>
      <c r="L2728" s="1" t="s">
        <v>6449</v>
      </c>
      <c r="M2728" t="s">
        <v>562</v>
      </c>
      <c r="N2728">
        <v>2</v>
      </c>
    </row>
    <row r="2729" spans="1:14" x14ac:dyDescent="0.25">
      <c r="A2729" s="3" t="str">
        <f>HYPERLINK("http://www.ncbi.nlm.nih.gov/gene/4774","4774")</f>
        <v>4774</v>
      </c>
      <c r="B2729" s="1" t="s">
        <v>6451</v>
      </c>
      <c r="C2729" t="s">
        <v>6452</v>
      </c>
      <c r="D2729">
        <v>177.8</v>
      </c>
      <c r="E2729">
        <v>188.8</v>
      </c>
      <c r="F2729">
        <v>99.2</v>
      </c>
      <c r="G2729">
        <v>98.8</v>
      </c>
      <c r="H2729">
        <v>132.5</v>
      </c>
      <c r="I2729">
        <v>135.9</v>
      </c>
      <c r="J2729">
        <v>99.2</v>
      </c>
      <c r="K2729">
        <v>99.2</v>
      </c>
      <c r="L2729" s="1" t="s">
        <v>6451</v>
      </c>
      <c r="M2729" t="s">
        <v>189</v>
      </c>
      <c r="N2729">
        <v>2</v>
      </c>
    </row>
    <row r="2730" spans="1:14" x14ac:dyDescent="0.25">
      <c r="A2730" s="3" t="str">
        <f>HYPERLINK("http://www.ncbi.nlm.nih.gov/gene/4781","4781")</f>
        <v>4781</v>
      </c>
      <c r="B2730" s="1" t="s">
        <v>6453</v>
      </c>
      <c r="C2730" t="s">
        <v>6454</v>
      </c>
      <c r="D2730">
        <v>131.30000000000001</v>
      </c>
      <c r="E2730">
        <v>132.1</v>
      </c>
      <c r="F2730">
        <v>97.4</v>
      </c>
      <c r="G2730">
        <v>96.5</v>
      </c>
      <c r="H2730">
        <v>129.6</v>
      </c>
      <c r="I2730">
        <v>131.80000000000001</v>
      </c>
      <c r="J2730">
        <v>100</v>
      </c>
      <c r="K2730">
        <v>100</v>
      </c>
      <c r="L2730" s="1" t="s">
        <v>6453</v>
      </c>
      <c r="M2730" t="s">
        <v>189</v>
      </c>
      <c r="N2730">
        <v>2</v>
      </c>
    </row>
    <row r="2731" spans="1:14" x14ac:dyDescent="0.25">
      <c r="A2731" s="3" t="str">
        <f>HYPERLINK("http://www.ncbi.nlm.nih.gov/gene/4784","4784")</f>
        <v>4784</v>
      </c>
      <c r="B2731" s="1" t="s">
        <v>6455</v>
      </c>
      <c r="C2731" t="s">
        <v>6456</v>
      </c>
      <c r="D2731">
        <v>169.9</v>
      </c>
      <c r="E2731">
        <v>177.4</v>
      </c>
      <c r="F2731">
        <v>100</v>
      </c>
      <c r="G2731">
        <v>99.5</v>
      </c>
      <c r="H2731">
        <v>162.30000000000001</v>
      </c>
      <c r="I2731">
        <v>165.7</v>
      </c>
      <c r="J2731">
        <v>99.6</v>
      </c>
      <c r="K2731">
        <v>98.7</v>
      </c>
      <c r="L2731" s="1" t="s">
        <v>6455</v>
      </c>
      <c r="M2731" t="s">
        <v>697</v>
      </c>
      <c r="N2731">
        <v>3</v>
      </c>
    </row>
    <row r="2732" spans="1:14" x14ac:dyDescent="0.25">
      <c r="A2732" s="3" t="str">
        <f>HYPERLINK("http://www.ncbi.nlm.nih.gov/gene/4790","4790")</f>
        <v>4790</v>
      </c>
      <c r="B2732" s="1" t="s">
        <v>6457</v>
      </c>
      <c r="C2732" t="s">
        <v>6458</v>
      </c>
      <c r="D2732">
        <v>109.2</v>
      </c>
      <c r="E2732">
        <v>113.7</v>
      </c>
      <c r="F2732">
        <v>100</v>
      </c>
      <c r="G2732">
        <v>99.4</v>
      </c>
      <c r="H2732">
        <v>123.2</v>
      </c>
      <c r="I2732">
        <v>126.8</v>
      </c>
      <c r="J2732">
        <v>100</v>
      </c>
      <c r="K2732">
        <v>100</v>
      </c>
      <c r="L2732" s="1" t="s">
        <v>6457</v>
      </c>
      <c r="M2732" t="s">
        <v>562</v>
      </c>
      <c r="N2732">
        <v>2</v>
      </c>
    </row>
    <row r="2733" spans="1:14" x14ac:dyDescent="0.25">
      <c r="A2733" s="3" t="str">
        <f>HYPERLINK("http://www.ncbi.nlm.nih.gov/gene/4791","4791")</f>
        <v>4791</v>
      </c>
      <c r="B2733" s="1" t="s">
        <v>6459</v>
      </c>
      <c r="C2733" t="s">
        <v>6460</v>
      </c>
      <c r="D2733">
        <v>134.30000000000001</v>
      </c>
      <c r="E2733">
        <v>134.6</v>
      </c>
      <c r="F2733">
        <v>98.8</v>
      </c>
      <c r="G2733">
        <v>95.6</v>
      </c>
      <c r="H2733">
        <v>135.4</v>
      </c>
      <c r="I2733">
        <v>138.5</v>
      </c>
      <c r="J2733">
        <v>100</v>
      </c>
      <c r="K2733">
        <v>100</v>
      </c>
      <c r="L2733" s="1" t="s">
        <v>6459</v>
      </c>
      <c r="M2733" t="s">
        <v>562</v>
      </c>
      <c r="N2733">
        <v>2</v>
      </c>
    </row>
    <row r="2734" spans="1:14" x14ac:dyDescent="0.25">
      <c r="A2734" s="3" t="str">
        <f>HYPERLINK("http://www.ncbi.nlm.nih.gov/gene/4792","4792")</f>
        <v>4792</v>
      </c>
      <c r="B2734" s="1" t="s">
        <v>6461</v>
      </c>
      <c r="C2734" t="s">
        <v>6462</v>
      </c>
      <c r="D2734">
        <v>128.69999999999999</v>
      </c>
      <c r="E2734">
        <v>132.6</v>
      </c>
      <c r="F2734">
        <v>95.2</v>
      </c>
      <c r="G2734">
        <v>88</v>
      </c>
      <c r="H2734">
        <v>139.4</v>
      </c>
      <c r="I2734">
        <v>144.69999999999999</v>
      </c>
      <c r="J2734">
        <v>100</v>
      </c>
      <c r="K2734">
        <v>100</v>
      </c>
      <c r="L2734" s="1" t="s">
        <v>6461</v>
      </c>
      <c r="M2734" t="s">
        <v>6463</v>
      </c>
      <c r="N2734">
        <v>4</v>
      </c>
    </row>
    <row r="2735" spans="1:14" x14ac:dyDescent="0.25">
      <c r="A2735" s="3" t="str">
        <f>HYPERLINK("http://www.ncbi.nlm.nih.gov/gene/9054","9054")</f>
        <v>9054</v>
      </c>
      <c r="B2735" s="1" t="s">
        <v>6464</v>
      </c>
      <c r="C2735" t="s">
        <v>6465</v>
      </c>
      <c r="D2735">
        <v>82.3</v>
      </c>
      <c r="E2735">
        <v>84.2</v>
      </c>
      <c r="F2735">
        <v>87.9</v>
      </c>
      <c r="G2735">
        <v>84</v>
      </c>
      <c r="H2735">
        <v>117.7</v>
      </c>
      <c r="I2735">
        <v>120.4</v>
      </c>
      <c r="J2735">
        <v>89.5</v>
      </c>
      <c r="K2735">
        <v>89.5</v>
      </c>
      <c r="L2735" s="1" t="s">
        <v>6464</v>
      </c>
      <c r="M2735" t="s">
        <v>265</v>
      </c>
      <c r="N2735">
        <v>2</v>
      </c>
    </row>
    <row r="2736" spans="1:14" x14ac:dyDescent="0.25">
      <c r="A2736" s="3" t="str">
        <f>HYPERLINK("http://www.ncbi.nlm.nih.gov/gene/27247","27247")</f>
        <v>27247</v>
      </c>
      <c r="B2736" s="1" t="s">
        <v>6466</v>
      </c>
      <c r="C2736" t="s">
        <v>6467</v>
      </c>
      <c r="D2736">
        <v>70.099999999999994</v>
      </c>
      <c r="E2736">
        <v>72.099999999999994</v>
      </c>
      <c r="F2736">
        <v>98.8</v>
      </c>
      <c r="G2736">
        <v>90.8</v>
      </c>
      <c r="H2736">
        <v>141.69999999999999</v>
      </c>
      <c r="I2736">
        <v>145</v>
      </c>
      <c r="J2736">
        <v>100</v>
      </c>
      <c r="K2736">
        <v>100</v>
      </c>
      <c r="L2736" s="1" t="s">
        <v>6466</v>
      </c>
      <c r="M2736" t="s">
        <v>830</v>
      </c>
      <c r="N2736">
        <v>4</v>
      </c>
    </row>
    <row r="2737" spans="1:14" x14ac:dyDescent="0.25">
      <c r="A2737" s="3" t="str">
        <f>HYPERLINK("http://www.ncbi.nlm.nih.gov/gene/4803","4803")</f>
        <v>4803</v>
      </c>
      <c r="B2737" s="1" t="s">
        <v>6468</v>
      </c>
      <c r="C2737" t="s">
        <v>6469</v>
      </c>
      <c r="D2737">
        <v>193.6</v>
      </c>
      <c r="E2737">
        <v>224.8</v>
      </c>
      <c r="F2737">
        <v>100</v>
      </c>
      <c r="G2737">
        <v>100</v>
      </c>
      <c r="H2737">
        <v>139.9</v>
      </c>
      <c r="I2737">
        <v>139.30000000000001</v>
      </c>
      <c r="J2737">
        <v>100</v>
      </c>
      <c r="K2737">
        <v>100</v>
      </c>
      <c r="L2737" s="1" t="s">
        <v>6468</v>
      </c>
      <c r="M2737" t="s">
        <v>6470</v>
      </c>
      <c r="N2737">
        <v>4</v>
      </c>
    </row>
    <row r="2738" spans="1:14" x14ac:dyDescent="0.25">
      <c r="A2738" s="3" t="str">
        <f>HYPERLINK("http://www.ncbi.nlm.nih.gov/gene/55768","55768")</f>
        <v>55768</v>
      </c>
      <c r="B2738" s="1" t="s">
        <v>6471</v>
      </c>
      <c r="C2738" t="s">
        <v>6472</v>
      </c>
      <c r="D2738">
        <v>158.5</v>
      </c>
      <c r="E2738">
        <v>166.1</v>
      </c>
      <c r="F2738">
        <v>100</v>
      </c>
      <c r="G2738">
        <v>99.8</v>
      </c>
      <c r="H2738">
        <v>137.30000000000001</v>
      </c>
      <c r="I2738">
        <v>142.30000000000001</v>
      </c>
      <c r="J2738">
        <v>100</v>
      </c>
      <c r="K2738">
        <v>100</v>
      </c>
      <c r="L2738" s="1" t="s">
        <v>6471</v>
      </c>
      <c r="M2738" t="s">
        <v>2185</v>
      </c>
      <c r="N2738">
        <v>7</v>
      </c>
    </row>
    <row r="2739" spans="1:14" x14ac:dyDescent="0.25">
      <c r="A2739" s="3" t="str">
        <f>HYPERLINK("http://www.ncbi.nlm.nih.gov/gene/79840","79840")</f>
        <v>79840</v>
      </c>
      <c r="B2739" s="1" t="s">
        <v>6473</v>
      </c>
      <c r="C2739" t="s">
        <v>6474</v>
      </c>
      <c r="D2739">
        <v>64.099999999999994</v>
      </c>
      <c r="E2739">
        <v>65.599999999999994</v>
      </c>
      <c r="F2739">
        <v>100</v>
      </c>
      <c r="G2739">
        <v>96.2</v>
      </c>
      <c r="H2739">
        <v>142.1</v>
      </c>
      <c r="I2739">
        <v>145.9</v>
      </c>
      <c r="J2739">
        <v>100</v>
      </c>
      <c r="K2739">
        <v>100</v>
      </c>
      <c r="L2739" s="1" t="s">
        <v>6473</v>
      </c>
      <c r="M2739" t="s">
        <v>6475</v>
      </c>
      <c r="N2739">
        <v>4</v>
      </c>
    </row>
    <row r="2740" spans="1:14" x14ac:dyDescent="0.25">
      <c r="A2740" s="3" t="str">
        <f>HYPERLINK("http://www.ncbi.nlm.nih.gov/gene/378884","378884")</f>
        <v>378884</v>
      </c>
      <c r="B2740" s="1" t="s">
        <v>6476</v>
      </c>
      <c r="C2740" t="s">
        <v>6477</v>
      </c>
      <c r="D2740">
        <v>156.1</v>
      </c>
      <c r="E2740">
        <v>150.9</v>
      </c>
      <c r="F2740">
        <v>100</v>
      </c>
      <c r="G2740">
        <v>98.7</v>
      </c>
      <c r="H2740">
        <v>168.4</v>
      </c>
      <c r="I2740">
        <v>165.6</v>
      </c>
      <c r="J2740">
        <v>100</v>
      </c>
      <c r="K2740">
        <v>100</v>
      </c>
      <c r="L2740" s="1" t="s">
        <v>6476</v>
      </c>
      <c r="M2740" t="s">
        <v>2040</v>
      </c>
      <c r="N2740">
        <v>3</v>
      </c>
    </row>
    <row r="2741" spans="1:14" x14ac:dyDescent="0.25">
      <c r="A2741" s="3" t="str">
        <f>HYPERLINK("http://www.ncbi.nlm.nih.gov/gene/374354","374354")</f>
        <v>374354</v>
      </c>
      <c r="B2741" s="1" t="s">
        <v>6478</v>
      </c>
      <c r="C2741" t="s">
        <v>6479</v>
      </c>
      <c r="D2741">
        <v>135.80000000000001</v>
      </c>
      <c r="E2741">
        <v>134.19999999999999</v>
      </c>
      <c r="F2741">
        <v>99.6</v>
      </c>
      <c r="G2741">
        <v>98.2</v>
      </c>
      <c r="H2741">
        <v>118.6</v>
      </c>
      <c r="I2741">
        <v>121.1</v>
      </c>
      <c r="J2741">
        <v>100</v>
      </c>
      <c r="K2741">
        <v>100</v>
      </c>
      <c r="L2741" s="1" t="s">
        <v>6478</v>
      </c>
      <c r="M2741" t="s">
        <v>53</v>
      </c>
      <c r="N2741">
        <v>2</v>
      </c>
    </row>
    <row r="2742" spans="1:14" x14ac:dyDescent="0.25">
      <c r="A2742" s="3" t="str">
        <f>HYPERLINK("http://www.ncbi.nlm.nih.gov/gene/55651","55651")</f>
        <v>55651</v>
      </c>
      <c r="B2742" s="1" t="s">
        <v>6480</v>
      </c>
      <c r="C2742" t="s">
        <v>6481</v>
      </c>
      <c r="D2742">
        <v>154.9</v>
      </c>
      <c r="E2742">
        <v>146.1</v>
      </c>
      <c r="F2742">
        <v>100</v>
      </c>
      <c r="G2742">
        <v>100</v>
      </c>
      <c r="H2742">
        <v>140.9</v>
      </c>
      <c r="I2742">
        <v>143.6</v>
      </c>
      <c r="J2742">
        <v>100</v>
      </c>
      <c r="K2742">
        <v>100</v>
      </c>
      <c r="L2742" s="1" t="s">
        <v>6480</v>
      </c>
      <c r="M2742" t="s">
        <v>6482</v>
      </c>
      <c r="N2742">
        <v>8</v>
      </c>
    </row>
    <row r="2743" spans="1:14" x14ac:dyDescent="0.25">
      <c r="A2743" s="3" t="str">
        <f>HYPERLINK("http://www.ncbi.nlm.nih.gov/gene/4810","4810")</f>
        <v>4810</v>
      </c>
      <c r="B2743" s="1" t="s">
        <v>6483</v>
      </c>
      <c r="C2743" t="s">
        <v>6484</v>
      </c>
      <c r="D2743">
        <v>129.1</v>
      </c>
      <c r="E2743">
        <v>128.1</v>
      </c>
      <c r="F2743">
        <v>95.4</v>
      </c>
      <c r="G2743">
        <v>93.9</v>
      </c>
      <c r="H2743">
        <v>139.6</v>
      </c>
      <c r="I2743">
        <v>139.1</v>
      </c>
      <c r="J2743">
        <v>100</v>
      </c>
      <c r="K2743">
        <v>99.8</v>
      </c>
      <c r="L2743" s="1" t="s">
        <v>6483</v>
      </c>
      <c r="M2743" t="s">
        <v>6485</v>
      </c>
      <c r="N2743">
        <v>3</v>
      </c>
    </row>
    <row r="2744" spans="1:14" x14ac:dyDescent="0.25">
      <c r="A2744" s="3" t="str">
        <f>HYPERLINK("http://www.ncbi.nlm.nih.gov/gene/51199","51199")</f>
        <v>51199</v>
      </c>
      <c r="B2744" s="1" t="s">
        <v>6486</v>
      </c>
      <c r="C2744" t="s">
        <v>6487</v>
      </c>
      <c r="D2744">
        <v>154.19999999999999</v>
      </c>
      <c r="E2744">
        <v>157</v>
      </c>
      <c r="F2744">
        <v>100</v>
      </c>
      <c r="G2744">
        <v>99.5</v>
      </c>
      <c r="H2744">
        <v>137.9</v>
      </c>
      <c r="I2744">
        <v>140.19999999999999</v>
      </c>
      <c r="J2744">
        <v>99.1</v>
      </c>
      <c r="K2744">
        <v>99.1</v>
      </c>
      <c r="L2744" s="1" t="s">
        <v>6486</v>
      </c>
      <c r="M2744" t="s">
        <v>1168</v>
      </c>
      <c r="N2744">
        <v>3</v>
      </c>
    </row>
    <row r="2745" spans="1:14" x14ac:dyDescent="0.25">
      <c r="A2745" s="3" t="str">
        <f>HYPERLINK("http://www.ncbi.nlm.nih.gov/gene/123606","123606")</f>
        <v>123606</v>
      </c>
      <c r="B2745" s="1" t="s">
        <v>6488</v>
      </c>
      <c r="C2745" t="s">
        <v>6489</v>
      </c>
      <c r="D2745">
        <v>174.2</v>
      </c>
      <c r="E2745">
        <v>191.5</v>
      </c>
      <c r="F2745">
        <v>100</v>
      </c>
      <c r="G2745">
        <v>100</v>
      </c>
      <c r="H2745">
        <v>134.69999999999999</v>
      </c>
      <c r="I2745">
        <v>141.30000000000001</v>
      </c>
      <c r="J2745">
        <v>99.8</v>
      </c>
      <c r="K2745">
        <v>98.5</v>
      </c>
      <c r="L2745" s="1" t="s">
        <v>6488</v>
      </c>
      <c r="M2745" t="s">
        <v>3127</v>
      </c>
      <c r="N2745">
        <v>3</v>
      </c>
    </row>
    <row r="2746" spans="1:14" x14ac:dyDescent="0.25">
      <c r="A2746" s="3" t="str">
        <f>HYPERLINK("http://www.ncbi.nlm.nih.gov/gene/348938","348938")</f>
        <v>348938</v>
      </c>
      <c r="B2746" s="1" t="s">
        <v>6490</v>
      </c>
      <c r="C2746" t="s">
        <v>6491</v>
      </c>
      <c r="D2746">
        <v>135</v>
      </c>
      <c r="E2746">
        <v>141.19999999999999</v>
      </c>
      <c r="F2746">
        <v>100</v>
      </c>
      <c r="G2746">
        <v>99.1</v>
      </c>
      <c r="H2746">
        <v>150.5</v>
      </c>
      <c r="I2746">
        <v>157</v>
      </c>
      <c r="J2746">
        <v>100</v>
      </c>
      <c r="K2746">
        <v>100</v>
      </c>
      <c r="L2746" s="1" t="s">
        <v>6490</v>
      </c>
      <c r="M2746" t="s">
        <v>246</v>
      </c>
      <c r="N2746">
        <v>3</v>
      </c>
    </row>
    <row r="2747" spans="1:14" x14ac:dyDescent="0.25">
      <c r="A2747" s="3" t="str">
        <f>HYPERLINK("http://www.ncbi.nlm.nih.gov/gene/25836","25836")</f>
        <v>25836</v>
      </c>
      <c r="B2747" s="1" t="s">
        <v>6492</v>
      </c>
      <c r="C2747" t="s">
        <v>6493</v>
      </c>
      <c r="D2747">
        <v>140.1</v>
      </c>
      <c r="E2747">
        <v>142.80000000000001</v>
      </c>
      <c r="F2747">
        <v>98.9</v>
      </c>
      <c r="G2747">
        <v>97</v>
      </c>
      <c r="H2747">
        <v>123.5</v>
      </c>
      <c r="I2747">
        <v>126.4</v>
      </c>
      <c r="J2747">
        <v>100</v>
      </c>
      <c r="K2747">
        <v>100</v>
      </c>
      <c r="L2747" s="1" t="s">
        <v>6492</v>
      </c>
      <c r="M2747" t="s">
        <v>6494</v>
      </c>
      <c r="N2747">
        <v>6</v>
      </c>
    </row>
    <row r="2748" spans="1:14" x14ac:dyDescent="0.25">
      <c r="A2748" s="3" t="str">
        <f>HYPERLINK("http://www.ncbi.nlm.nih.gov/gene/79576","79576")</f>
        <v>79576</v>
      </c>
      <c r="B2748" s="1" t="s">
        <v>6495</v>
      </c>
      <c r="C2748" t="s">
        <v>6496</v>
      </c>
      <c r="D2748">
        <v>99.6</v>
      </c>
      <c r="E2748">
        <v>104.2</v>
      </c>
      <c r="F2748">
        <v>99.3</v>
      </c>
      <c r="G2748">
        <v>95.2</v>
      </c>
      <c r="H2748">
        <v>128.5</v>
      </c>
      <c r="I2748">
        <v>132.4</v>
      </c>
      <c r="J2748">
        <v>100</v>
      </c>
      <c r="K2748">
        <v>100</v>
      </c>
      <c r="L2748" s="1" t="s">
        <v>6495</v>
      </c>
      <c r="M2748" t="s">
        <v>728</v>
      </c>
      <c r="N2748">
        <v>2</v>
      </c>
    </row>
    <row r="2749" spans="1:14" x14ac:dyDescent="0.25">
      <c r="A2749" s="3" t="str">
        <f>HYPERLINK("http://www.ncbi.nlm.nih.gov/gene/7080","7080")</f>
        <v>7080</v>
      </c>
      <c r="B2749" s="1" t="s">
        <v>6497</v>
      </c>
      <c r="C2749" t="s">
        <v>6498</v>
      </c>
      <c r="D2749">
        <v>68.099999999999994</v>
      </c>
      <c r="E2749">
        <v>57.4</v>
      </c>
      <c r="F2749">
        <v>98.6</v>
      </c>
      <c r="G2749">
        <v>85.6</v>
      </c>
      <c r="H2749">
        <v>137.4</v>
      </c>
      <c r="I2749">
        <v>132.30000000000001</v>
      </c>
      <c r="J2749">
        <v>100</v>
      </c>
      <c r="K2749">
        <v>100</v>
      </c>
      <c r="L2749" s="1" t="s">
        <v>6497</v>
      </c>
      <c r="M2749" t="s">
        <v>1357</v>
      </c>
      <c r="N2749">
        <v>3</v>
      </c>
    </row>
    <row r="2750" spans="1:14" x14ac:dyDescent="0.25">
      <c r="A2750" s="3" t="str">
        <f>HYPERLINK("http://www.ncbi.nlm.nih.gov/gene/1482","1482")</f>
        <v>1482</v>
      </c>
      <c r="B2750" s="1" t="s">
        <v>6499</v>
      </c>
      <c r="C2750" t="s">
        <v>6500</v>
      </c>
      <c r="D2750">
        <v>89.4</v>
      </c>
      <c r="E2750">
        <v>86.7</v>
      </c>
      <c r="F2750">
        <v>100</v>
      </c>
      <c r="G2750">
        <v>99.7</v>
      </c>
      <c r="H2750">
        <v>155.80000000000001</v>
      </c>
      <c r="I2750">
        <v>152.1</v>
      </c>
      <c r="J2750">
        <v>100</v>
      </c>
      <c r="K2750">
        <v>100</v>
      </c>
      <c r="L2750" s="1" t="s">
        <v>6499</v>
      </c>
      <c r="M2750" t="s">
        <v>4371</v>
      </c>
      <c r="N2750">
        <v>4</v>
      </c>
    </row>
    <row r="2751" spans="1:14" x14ac:dyDescent="0.25">
      <c r="A2751" s="3" t="str">
        <f>HYPERLINK("http://www.ncbi.nlm.nih.gov/gene/137814","137814")</f>
        <v>137814</v>
      </c>
      <c r="B2751" s="1" t="s">
        <v>6501</v>
      </c>
      <c r="C2751" t="s">
        <v>6502</v>
      </c>
      <c r="D2751">
        <v>132.1</v>
      </c>
      <c r="E2751">
        <v>128.9</v>
      </c>
      <c r="F2751">
        <v>100</v>
      </c>
      <c r="G2751">
        <v>99.5</v>
      </c>
      <c r="H2751">
        <v>141.5</v>
      </c>
      <c r="I2751">
        <v>144.9</v>
      </c>
      <c r="J2751">
        <v>100</v>
      </c>
      <c r="K2751">
        <v>100</v>
      </c>
      <c r="L2751" s="1" t="s">
        <v>6501</v>
      </c>
      <c r="M2751" t="s">
        <v>6503</v>
      </c>
      <c r="N2751">
        <v>4</v>
      </c>
    </row>
    <row r="2752" spans="1:14" x14ac:dyDescent="0.25">
      <c r="A2752" s="3" t="str">
        <f>HYPERLINK("http://www.ncbi.nlm.nih.gov/gene/579","579")</f>
        <v>579</v>
      </c>
      <c r="B2752" s="1" t="s">
        <v>6504</v>
      </c>
      <c r="C2752" t="s">
        <v>6505</v>
      </c>
      <c r="D2752">
        <v>104.5</v>
      </c>
      <c r="E2752">
        <v>99.1</v>
      </c>
      <c r="F2752">
        <v>99.8</v>
      </c>
      <c r="G2752">
        <v>97</v>
      </c>
      <c r="H2752">
        <v>130.6</v>
      </c>
      <c r="I2752">
        <v>128.5</v>
      </c>
      <c r="J2752">
        <v>100</v>
      </c>
      <c r="K2752">
        <v>100</v>
      </c>
      <c r="L2752" s="1" t="s">
        <v>6504</v>
      </c>
      <c r="M2752" t="s">
        <v>1168</v>
      </c>
      <c r="N2752">
        <v>3</v>
      </c>
    </row>
    <row r="2753" spans="1:14" x14ac:dyDescent="0.25">
      <c r="A2753" s="3" t="str">
        <f>HYPERLINK("http://www.ncbi.nlm.nih.gov/gene/84504","84504")</f>
        <v>84504</v>
      </c>
      <c r="B2753" s="1" t="s">
        <v>6506</v>
      </c>
      <c r="C2753" t="s">
        <v>6507</v>
      </c>
      <c r="D2753">
        <v>87</v>
      </c>
      <c r="E2753">
        <v>81.3</v>
      </c>
      <c r="F2753">
        <v>89</v>
      </c>
      <c r="G2753">
        <v>81.8</v>
      </c>
      <c r="H2753">
        <v>129.30000000000001</v>
      </c>
      <c r="I2753">
        <v>131.1</v>
      </c>
      <c r="J2753">
        <v>100</v>
      </c>
      <c r="K2753">
        <v>100</v>
      </c>
      <c r="L2753" s="1" t="s">
        <v>6506</v>
      </c>
      <c r="M2753" t="s">
        <v>838</v>
      </c>
      <c r="N2753">
        <v>3</v>
      </c>
    </row>
    <row r="2754" spans="1:14" x14ac:dyDescent="0.25">
      <c r="A2754" s="3" t="str">
        <f>HYPERLINK("http://www.ncbi.nlm.nih.gov/gene/57555","57555")</f>
        <v>57555</v>
      </c>
      <c r="B2754" s="1" t="s">
        <v>6508</v>
      </c>
      <c r="D2754">
        <v>139.5</v>
      </c>
      <c r="E2754">
        <v>140.5</v>
      </c>
      <c r="F2754">
        <v>92.9</v>
      </c>
      <c r="G2754">
        <v>88.5</v>
      </c>
      <c r="H2754">
        <v>139.69999999999999</v>
      </c>
      <c r="I2754">
        <v>144.19999999999999</v>
      </c>
      <c r="J2754">
        <v>100</v>
      </c>
      <c r="K2754">
        <v>100</v>
      </c>
      <c r="L2754" s="1" t="s">
        <v>6508</v>
      </c>
      <c r="M2754" t="s">
        <v>189</v>
      </c>
      <c r="N2754">
        <v>2</v>
      </c>
    </row>
    <row r="2755" spans="1:14" x14ac:dyDescent="0.25">
      <c r="A2755" s="3" t="str">
        <f>HYPERLINK("http://www.ncbi.nlm.nih.gov/gene/54413","54413")</f>
        <v>54413</v>
      </c>
      <c r="B2755" s="1" t="s">
        <v>6509</v>
      </c>
      <c r="C2755" t="s">
        <v>6510</v>
      </c>
      <c r="D2755">
        <v>149.69999999999999</v>
      </c>
      <c r="E2755">
        <v>151.80000000000001</v>
      </c>
      <c r="F2755">
        <v>99.9</v>
      </c>
      <c r="G2755">
        <v>99</v>
      </c>
      <c r="H2755">
        <v>142.80000000000001</v>
      </c>
      <c r="I2755">
        <v>145.1</v>
      </c>
      <c r="J2755">
        <v>100</v>
      </c>
      <c r="K2755">
        <v>100</v>
      </c>
      <c r="L2755" s="1" t="s">
        <v>6509</v>
      </c>
      <c r="M2755" t="s">
        <v>728</v>
      </c>
      <c r="N2755">
        <v>2</v>
      </c>
    </row>
    <row r="2756" spans="1:14" x14ac:dyDescent="0.25">
      <c r="A2756" s="3" t="str">
        <f>HYPERLINK("http://www.ncbi.nlm.nih.gov/gene/57502","57502")</f>
        <v>57502</v>
      </c>
      <c r="B2756" s="1" t="s">
        <v>6511</v>
      </c>
      <c r="C2756" t="s">
        <v>6512</v>
      </c>
      <c r="D2756">
        <v>163.69999999999999</v>
      </c>
      <c r="E2756">
        <v>159.30000000000001</v>
      </c>
      <c r="F2756">
        <v>99.9</v>
      </c>
      <c r="G2756">
        <v>98.9</v>
      </c>
      <c r="H2756">
        <v>149</v>
      </c>
      <c r="I2756">
        <v>151</v>
      </c>
      <c r="J2756">
        <v>100</v>
      </c>
      <c r="K2756">
        <v>99.9</v>
      </c>
      <c r="L2756" s="1" t="s">
        <v>6511</v>
      </c>
      <c r="M2756" t="s">
        <v>6028</v>
      </c>
      <c r="N2756">
        <v>2</v>
      </c>
    </row>
    <row r="2757" spans="1:14" x14ac:dyDescent="0.25">
      <c r="A2757" s="3" t="str">
        <f>HYPERLINK("http://www.ncbi.nlm.nih.gov/gene/58484","58484")</f>
        <v>58484</v>
      </c>
      <c r="B2757" s="1" t="s">
        <v>6513</v>
      </c>
      <c r="C2757" t="s">
        <v>6514</v>
      </c>
      <c r="D2757">
        <v>193.7</v>
      </c>
      <c r="E2757">
        <v>191.9</v>
      </c>
      <c r="F2757">
        <v>100</v>
      </c>
      <c r="G2757">
        <v>100</v>
      </c>
      <c r="H2757">
        <v>140.9</v>
      </c>
      <c r="I2757">
        <v>141.6</v>
      </c>
      <c r="J2757">
        <v>100</v>
      </c>
      <c r="K2757">
        <v>100</v>
      </c>
      <c r="L2757" s="1" t="s">
        <v>6513</v>
      </c>
      <c r="M2757" t="s">
        <v>562</v>
      </c>
      <c r="N2757">
        <v>2</v>
      </c>
    </row>
    <row r="2758" spans="1:14" x14ac:dyDescent="0.25">
      <c r="A2758" s="3" t="str">
        <f>HYPERLINK("http://www.ncbi.nlm.nih.gov/gene/22861","22861")</f>
        <v>22861</v>
      </c>
      <c r="B2758" s="1" t="s">
        <v>6515</v>
      </c>
      <c r="C2758" t="s">
        <v>6516</v>
      </c>
      <c r="D2758">
        <v>130.6</v>
      </c>
      <c r="E2758">
        <v>131.6</v>
      </c>
      <c r="F2758">
        <v>99.6</v>
      </c>
      <c r="G2758">
        <v>98</v>
      </c>
      <c r="H2758">
        <v>139.9</v>
      </c>
      <c r="I2758">
        <v>142.1</v>
      </c>
      <c r="J2758">
        <v>100</v>
      </c>
      <c r="K2758">
        <v>100</v>
      </c>
      <c r="L2758" s="1" t="s">
        <v>6515</v>
      </c>
      <c r="M2758" t="s">
        <v>6517</v>
      </c>
      <c r="N2758">
        <v>4</v>
      </c>
    </row>
    <row r="2759" spans="1:14" x14ac:dyDescent="0.25">
      <c r="A2759" s="3" t="str">
        <f>HYPERLINK("http://www.ncbi.nlm.nih.gov/gene/91662","91662")</f>
        <v>91662</v>
      </c>
      <c r="B2759" s="1" t="s">
        <v>6518</v>
      </c>
      <c r="C2759" t="s">
        <v>6519</v>
      </c>
      <c r="D2759">
        <v>177.4</v>
      </c>
      <c r="E2759">
        <v>176.9</v>
      </c>
      <c r="F2759">
        <v>100</v>
      </c>
      <c r="G2759">
        <v>99.9</v>
      </c>
      <c r="H2759">
        <v>148.19999999999999</v>
      </c>
      <c r="I2759">
        <v>150.1</v>
      </c>
      <c r="J2759">
        <v>100</v>
      </c>
      <c r="K2759">
        <v>100</v>
      </c>
      <c r="L2759" s="1" t="s">
        <v>6518</v>
      </c>
      <c r="M2759" t="s">
        <v>627</v>
      </c>
      <c r="N2759">
        <v>3</v>
      </c>
    </row>
    <row r="2760" spans="1:14" x14ac:dyDescent="0.25">
      <c r="A2760" s="3" t="str">
        <f>HYPERLINK("http://www.ncbi.nlm.nih.gov/gene/114548","114548")</f>
        <v>114548</v>
      </c>
      <c r="B2760" s="1" t="s">
        <v>6520</v>
      </c>
      <c r="C2760" t="s">
        <v>6521</v>
      </c>
      <c r="D2760">
        <v>168.1</v>
      </c>
      <c r="E2760">
        <v>153.4</v>
      </c>
      <c r="F2760">
        <v>100</v>
      </c>
      <c r="G2760">
        <v>99.9</v>
      </c>
      <c r="H2760">
        <v>134.9</v>
      </c>
      <c r="I2760">
        <v>136.5</v>
      </c>
      <c r="J2760">
        <v>100</v>
      </c>
      <c r="K2760">
        <v>100</v>
      </c>
      <c r="L2760" s="1" t="s">
        <v>6520</v>
      </c>
      <c r="M2760" t="s">
        <v>6522</v>
      </c>
      <c r="N2760">
        <v>5</v>
      </c>
    </row>
    <row r="2761" spans="1:14" x14ac:dyDescent="0.25">
      <c r="A2761" s="3" t="str">
        <f>HYPERLINK("http://www.ncbi.nlm.nih.gov/gene/171389","171389")</f>
        <v>171389</v>
      </c>
      <c r="B2761" s="1" t="s">
        <v>6523</v>
      </c>
      <c r="C2761" t="s">
        <v>6524</v>
      </c>
      <c r="D2761">
        <v>133.80000000000001</v>
      </c>
      <c r="E2761">
        <v>106.4</v>
      </c>
      <c r="F2761">
        <v>98.7</v>
      </c>
      <c r="G2761">
        <v>95.9</v>
      </c>
      <c r="H2761">
        <v>127.1</v>
      </c>
      <c r="I2761">
        <v>128.30000000000001</v>
      </c>
      <c r="J2761">
        <v>100</v>
      </c>
      <c r="K2761">
        <v>100</v>
      </c>
      <c r="L2761" s="1" t="s">
        <v>6523</v>
      </c>
      <c r="M2761" t="s">
        <v>562</v>
      </c>
      <c r="N2761">
        <v>2</v>
      </c>
    </row>
    <row r="2762" spans="1:14" x14ac:dyDescent="0.25">
      <c r="A2762" s="3" t="str">
        <f>HYPERLINK("http://www.ncbi.nlm.nih.gov/gene/199713","199713")</f>
        <v>199713</v>
      </c>
      <c r="B2762" s="1" t="s">
        <v>6525</v>
      </c>
      <c r="C2762" t="s">
        <v>6526</v>
      </c>
      <c r="D2762">
        <v>133.4</v>
      </c>
      <c r="E2762">
        <v>128.19999999999999</v>
      </c>
      <c r="F2762">
        <v>100</v>
      </c>
      <c r="G2762">
        <v>99.6</v>
      </c>
      <c r="H2762">
        <v>253</v>
      </c>
      <c r="I2762">
        <v>258.5</v>
      </c>
      <c r="J2762">
        <v>100</v>
      </c>
      <c r="K2762">
        <v>100</v>
      </c>
      <c r="L2762" s="1" t="s">
        <v>6525</v>
      </c>
      <c r="M2762" t="s">
        <v>6527</v>
      </c>
      <c r="N2762">
        <v>3</v>
      </c>
    </row>
    <row r="2763" spans="1:14" x14ac:dyDescent="0.25">
      <c r="A2763" s="3" t="str">
        <f>HYPERLINK("http://www.ncbi.nlm.nih.gov/gene/4830","4830")</f>
        <v>4830</v>
      </c>
      <c r="B2763" s="1" t="s">
        <v>6528</v>
      </c>
      <c r="C2763" t="s">
        <v>6529</v>
      </c>
      <c r="D2763">
        <v>100.7</v>
      </c>
      <c r="E2763">
        <v>101.8</v>
      </c>
      <c r="F2763">
        <v>100</v>
      </c>
      <c r="G2763">
        <v>100</v>
      </c>
      <c r="H2763">
        <v>124.2</v>
      </c>
      <c r="I2763">
        <v>126.8</v>
      </c>
      <c r="J2763">
        <v>100</v>
      </c>
      <c r="K2763">
        <v>100</v>
      </c>
      <c r="L2763" s="1" t="s">
        <v>6528</v>
      </c>
      <c r="M2763" t="s">
        <v>29</v>
      </c>
      <c r="N2763">
        <v>2</v>
      </c>
    </row>
    <row r="2764" spans="1:14" x14ac:dyDescent="0.25">
      <c r="A2764" s="3" t="str">
        <f>HYPERLINK("http://www.ncbi.nlm.nih.gov/gene/4832","4832")</f>
        <v>4832</v>
      </c>
      <c r="B2764" s="1" t="s">
        <v>6530</v>
      </c>
      <c r="C2764" t="s">
        <v>6531</v>
      </c>
      <c r="D2764">
        <v>125.2</v>
      </c>
      <c r="E2764">
        <v>128</v>
      </c>
      <c r="F2764">
        <v>93.1</v>
      </c>
      <c r="G2764">
        <v>88.5</v>
      </c>
      <c r="H2764">
        <v>150.9</v>
      </c>
      <c r="I2764">
        <v>153.30000000000001</v>
      </c>
      <c r="J2764">
        <v>100</v>
      </c>
      <c r="K2764">
        <v>100</v>
      </c>
      <c r="L2764" s="1" t="s">
        <v>6530</v>
      </c>
      <c r="M2764" t="s">
        <v>265</v>
      </c>
      <c r="N2764">
        <v>2</v>
      </c>
    </row>
    <row r="2765" spans="1:14" x14ac:dyDescent="0.25">
      <c r="A2765" s="3" t="str">
        <f>HYPERLINK("http://www.ncbi.nlm.nih.gov/gene/8382","8382")</f>
        <v>8382</v>
      </c>
      <c r="B2765" s="1" t="s">
        <v>6532</v>
      </c>
      <c r="C2765" t="s">
        <v>6533</v>
      </c>
      <c r="D2765">
        <v>190.8</v>
      </c>
      <c r="E2765">
        <v>202.5</v>
      </c>
      <c r="F2765">
        <v>100</v>
      </c>
      <c r="G2765">
        <v>100</v>
      </c>
      <c r="H2765">
        <v>126.8</v>
      </c>
      <c r="I2765">
        <v>130.4</v>
      </c>
      <c r="J2765">
        <v>100</v>
      </c>
      <c r="K2765">
        <v>100</v>
      </c>
      <c r="L2765" s="1" t="s">
        <v>6532</v>
      </c>
      <c r="M2765" t="s">
        <v>1495</v>
      </c>
      <c r="N2765">
        <v>2</v>
      </c>
    </row>
    <row r="2766" spans="1:14" x14ac:dyDescent="0.25">
      <c r="A2766" s="3" t="str">
        <f>HYPERLINK("http://www.ncbi.nlm.nih.gov/gene/51314","51314")</f>
        <v>51314</v>
      </c>
      <c r="B2766" s="1" t="s">
        <v>6534</v>
      </c>
      <c r="C2766" t="s">
        <v>6535</v>
      </c>
      <c r="D2766">
        <v>115.1</v>
      </c>
      <c r="E2766">
        <v>120.6</v>
      </c>
      <c r="F2766">
        <v>99.2</v>
      </c>
      <c r="G2766">
        <v>95.3</v>
      </c>
      <c r="H2766">
        <v>119.5</v>
      </c>
      <c r="I2766">
        <v>122.9</v>
      </c>
      <c r="J2766">
        <v>100</v>
      </c>
      <c r="K2766">
        <v>100</v>
      </c>
      <c r="L2766" s="1" t="s">
        <v>6534</v>
      </c>
      <c r="M2766" t="s">
        <v>1483</v>
      </c>
      <c r="N2766">
        <v>3</v>
      </c>
    </row>
    <row r="2767" spans="1:14" x14ac:dyDescent="0.25">
      <c r="A2767" s="3" t="str">
        <f>HYPERLINK("http://www.ncbi.nlm.nih.gov/gene/64802","64802")</f>
        <v>64802</v>
      </c>
      <c r="B2767" s="1" t="s">
        <v>6536</v>
      </c>
      <c r="C2767" t="s">
        <v>6537</v>
      </c>
      <c r="D2767">
        <v>139.5</v>
      </c>
      <c r="E2767">
        <v>131.6</v>
      </c>
      <c r="F2767">
        <v>100</v>
      </c>
      <c r="G2767">
        <v>99.2</v>
      </c>
      <c r="H2767">
        <v>109.3</v>
      </c>
      <c r="I2767">
        <v>111.6</v>
      </c>
      <c r="J2767">
        <v>98.3</v>
      </c>
      <c r="K2767">
        <v>95.6</v>
      </c>
      <c r="L2767" s="1" t="s">
        <v>6536</v>
      </c>
      <c r="M2767" t="s">
        <v>436</v>
      </c>
      <c r="N2767">
        <v>4</v>
      </c>
    </row>
    <row r="2768" spans="1:14" x14ac:dyDescent="0.25">
      <c r="A2768" s="3" t="str">
        <f>HYPERLINK("http://www.ncbi.nlm.nih.gov/gene/23057","23057")</f>
        <v>23057</v>
      </c>
      <c r="B2768" s="1" t="s">
        <v>6538</v>
      </c>
      <c r="C2768" t="s">
        <v>6539</v>
      </c>
      <c r="D2768">
        <v>109.3</v>
      </c>
      <c r="E2768">
        <v>110.5</v>
      </c>
      <c r="F2768">
        <v>99.9</v>
      </c>
      <c r="G2768">
        <v>98.9</v>
      </c>
      <c r="H2768">
        <v>129.1</v>
      </c>
      <c r="I2768">
        <v>131</v>
      </c>
      <c r="J2768">
        <v>100</v>
      </c>
      <c r="K2768">
        <v>100</v>
      </c>
      <c r="L2768" s="1" t="s">
        <v>6538</v>
      </c>
      <c r="M2768" t="s">
        <v>6540</v>
      </c>
      <c r="N2768">
        <v>3</v>
      </c>
    </row>
    <row r="2769" spans="1:14" x14ac:dyDescent="0.25">
      <c r="A2769" s="3" t="str">
        <f>HYPERLINK("http://www.ncbi.nlm.nih.gov/gene/23530","23530")</f>
        <v>23530</v>
      </c>
      <c r="B2769" s="1" t="s">
        <v>6541</v>
      </c>
      <c r="C2769" t="s">
        <v>6542</v>
      </c>
      <c r="D2769">
        <v>138.5</v>
      </c>
      <c r="E2769">
        <v>143.9</v>
      </c>
      <c r="F2769">
        <v>96.4</v>
      </c>
      <c r="G2769">
        <v>95.9</v>
      </c>
      <c r="H2769">
        <v>134.6</v>
      </c>
      <c r="I2769">
        <v>139</v>
      </c>
      <c r="J2769">
        <v>96.4</v>
      </c>
      <c r="K2769">
        <v>96.4</v>
      </c>
      <c r="L2769" s="1" t="s">
        <v>6541</v>
      </c>
      <c r="M2769" t="s">
        <v>6543</v>
      </c>
      <c r="N2769">
        <v>5</v>
      </c>
    </row>
    <row r="2770" spans="1:14" x14ac:dyDescent="0.25">
      <c r="A2770" s="3" t="str">
        <f>HYPERLINK("http://www.ncbi.nlm.nih.gov/gene/135935","135935")</f>
        <v>135935</v>
      </c>
      <c r="B2770" s="1" t="s">
        <v>6544</v>
      </c>
      <c r="C2770" t="s">
        <v>6545</v>
      </c>
      <c r="D2770">
        <v>101.7</v>
      </c>
      <c r="E2770">
        <v>107.3</v>
      </c>
      <c r="F2770">
        <v>99.9</v>
      </c>
      <c r="G2770">
        <v>98.4</v>
      </c>
      <c r="H2770">
        <v>112.4</v>
      </c>
      <c r="I2770">
        <v>115.9</v>
      </c>
      <c r="J2770">
        <v>100</v>
      </c>
      <c r="K2770">
        <v>99.8</v>
      </c>
      <c r="L2770" s="1" t="s">
        <v>6544</v>
      </c>
      <c r="M2770" t="s">
        <v>840</v>
      </c>
      <c r="N2770">
        <v>2</v>
      </c>
    </row>
    <row r="2771" spans="1:14" x14ac:dyDescent="0.25">
      <c r="A2771" s="3" t="str">
        <f>HYPERLINK("http://www.ncbi.nlm.nih.gov/gene/64127","64127")</f>
        <v>64127</v>
      </c>
      <c r="B2771" s="1" t="s">
        <v>6546</v>
      </c>
      <c r="C2771" t="s">
        <v>6547</v>
      </c>
      <c r="D2771">
        <v>138.80000000000001</v>
      </c>
      <c r="E2771">
        <v>126.1</v>
      </c>
      <c r="F2771">
        <v>100</v>
      </c>
      <c r="G2771">
        <v>99.9</v>
      </c>
      <c r="H2771">
        <v>140.9</v>
      </c>
      <c r="I2771">
        <v>143.30000000000001</v>
      </c>
      <c r="J2771">
        <v>100</v>
      </c>
      <c r="K2771">
        <v>100</v>
      </c>
      <c r="L2771" s="1" t="s">
        <v>6546</v>
      </c>
      <c r="M2771" t="s">
        <v>6548</v>
      </c>
      <c r="N2771">
        <v>3</v>
      </c>
    </row>
    <row r="2772" spans="1:14" x14ac:dyDescent="0.25">
      <c r="A2772" s="3" t="str">
        <f>HYPERLINK("http://www.ncbi.nlm.nih.gov/gene/4838","4838")</f>
        <v>4838</v>
      </c>
      <c r="B2772" s="1" t="s">
        <v>6549</v>
      </c>
      <c r="C2772" t="s">
        <v>6550</v>
      </c>
      <c r="D2772">
        <v>175.8</v>
      </c>
      <c r="E2772">
        <v>167.9</v>
      </c>
      <c r="F2772">
        <v>100</v>
      </c>
      <c r="G2772">
        <v>100</v>
      </c>
      <c r="H2772">
        <v>138.19999999999999</v>
      </c>
      <c r="I2772">
        <v>140.69999999999999</v>
      </c>
      <c r="J2772">
        <v>100</v>
      </c>
      <c r="K2772">
        <v>100</v>
      </c>
      <c r="L2772" s="1" t="s">
        <v>6549</v>
      </c>
      <c r="M2772" t="s">
        <v>6551</v>
      </c>
      <c r="N2772">
        <v>4</v>
      </c>
    </row>
    <row r="2773" spans="1:14" x14ac:dyDescent="0.25">
      <c r="A2773" s="3" t="str">
        <f>HYPERLINK("http://www.ncbi.nlm.nih.gov/gene/9241","9241")</f>
        <v>9241</v>
      </c>
      <c r="B2773" s="1" t="s">
        <v>6552</v>
      </c>
      <c r="C2773" t="s">
        <v>6553</v>
      </c>
      <c r="D2773">
        <v>199.3</v>
      </c>
      <c r="E2773">
        <v>175.6</v>
      </c>
      <c r="F2773">
        <v>100</v>
      </c>
      <c r="G2773">
        <v>100</v>
      </c>
      <c r="H2773">
        <v>146.80000000000001</v>
      </c>
      <c r="I2773">
        <v>143.4</v>
      </c>
      <c r="J2773">
        <v>100</v>
      </c>
      <c r="K2773">
        <v>100</v>
      </c>
      <c r="L2773" s="1" t="s">
        <v>6552</v>
      </c>
      <c r="M2773" t="s">
        <v>6554</v>
      </c>
      <c r="N2773">
        <v>4</v>
      </c>
    </row>
    <row r="2774" spans="1:14" x14ac:dyDescent="0.25">
      <c r="A2774" s="3" t="str">
        <f>HYPERLINK("http://www.ncbi.nlm.nih.gov/gene/8996","8996")</f>
        <v>8996</v>
      </c>
      <c r="B2774" s="1" t="s">
        <v>6555</v>
      </c>
      <c r="C2774" t="s">
        <v>6556</v>
      </c>
      <c r="D2774">
        <v>104.7</v>
      </c>
      <c r="E2774">
        <v>87.7</v>
      </c>
      <c r="F2774">
        <v>93.7</v>
      </c>
      <c r="G2774">
        <v>84.2</v>
      </c>
      <c r="H2774">
        <v>154.4</v>
      </c>
      <c r="I2774">
        <v>157.30000000000001</v>
      </c>
      <c r="J2774">
        <v>100</v>
      </c>
      <c r="K2774">
        <v>100</v>
      </c>
      <c r="L2774" s="1" t="s">
        <v>6555</v>
      </c>
      <c r="M2774" t="s">
        <v>600</v>
      </c>
      <c r="N2774">
        <v>2</v>
      </c>
    </row>
    <row r="2775" spans="1:14" x14ac:dyDescent="0.25">
      <c r="A2775" s="3" t="str">
        <f>HYPERLINK("http://www.ncbi.nlm.nih.gov/gene/408050","408050")</f>
        <v>408050</v>
      </c>
      <c r="B2775" s="1" t="s">
        <v>6557</v>
      </c>
      <c r="C2775" t="s">
        <v>6558</v>
      </c>
      <c r="D2775">
        <v>33.1</v>
      </c>
      <c r="E2775">
        <v>32.1</v>
      </c>
      <c r="F2775">
        <v>16.7</v>
      </c>
      <c r="G2775">
        <v>16.5</v>
      </c>
      <c r="H2775">
        <v>217.1</v>
      </c>
      <c r="I2775">
        <v>222.6</v>
      </c>
      <c r="J2775">
        <v>99.8</v>
      </c>
      <c r="K2775">
        <v>99.7</v>
      </c>
      <c r="L2775" s="1" t="s">
        <v>6557</v>
      </c>
      <c r="M2775" t="s">
        <v>661</v>
      </c>
      <c r="N2775">
        <v>2</v>
      </c>
    </row>
    <row r="2776" spans="1:14" x14ac:dyDescent="0.25">
      <c r="A2776" s="3" t="str">
        <f>HYPERLINK("http://www.ncbi.nlm.nih.gov/gene/4841","4841")</f>
        <v>4841</v>
      </c>
      <c r="B2776" s="1" t="s">
        <v>6559</v>
      </c>
      <c r="C2776" t="s">
        <v>6560</v>
      </c>
      <c r="D2776">
        <v>94.5</v>
      </c>
      <c r="E2776">
        <v>97.5</v>
      </c>
      <c r="F2776">
        <v>100</v>
      </c>
      <c r="G2776">
        <v>98.4</v>
      </c>
      <c r="H2776">
        <v>121</v>
      </c>
      <c r="I2776">
        <v>124.3</v>
      </c>
      <c r="J2776">
        <v>100</v>
      </c>
      <c r="K2776">
        <v>100</v>
      </c>
      <c r="L2776" s="1" t="s">
        <v>6559</v>
      </c>
      <c r="M2776" t="s">
        <v>728</v>
      </c>
      <c r="N2776">
        <v>2</v>
      </c>
    </row>
    <row r="2777" spans="1:14" x14ac:dyDescent="0.25">
      <c r="A2777" s="3" t="str">
        <f>HYPERLINK("http://www.ncbi.nlm.nih.gov/gene/55505","55505")</f>
        <v>55505</v>
      </c>
      <c r="B2777" s="1" t="s">
        <v>6561</v>
      </c>
      <c r="C2777" t="s">
        <v>6562</v>
      </c>
      <c r="D2777">
        <v>145.5</v>
      </c>
      <c r="E2777">
        <v>147.4</v>
      </c>
      <c r="F2777">
        <v>100</v>
      </c>
      <c r="G2777">
        <v>99.8</v>
      </c>
      <c r="H2777">
        <v>142.69999999999999</v>
      </c>
      <c r="I2777">
        <v>145.5</v>
      </c>
      <c r="J2777">
        <v>100</v>
      </c>
      <c r="K2777">
        <v>100</v>
      </c>
      <c r="L2777" s="1" t="s">
        <v>6561</v>
      </c>
      <c r="M2777" t="s">
        <v>6482</v>
      </c>
      <c r="N2777">
        <v>8</v>
      </c>
    </row>
    <row r="2778" spans="1:14" x14ac:dyDescent="0.25">
      <c r="A2778" s="3" t="str">
        <f>HYPERLINK("http://www.ncbi.nlm.nih.gov/gene/10528","10528")</f>
        <v>10528</v>
      </c>
      <c r="B2778" s="1" t="s">
        <v>6563</v>
      </c>
      <c r="C2778" t="s">
        <v>6564</v>
      </c>
      <c r="D2778">
        <v>134.5</v>
      </c>
      <c r="E2778">
        <v>137.80000000000001</v>
      </c>
      <c r="F2778">
        <v>99.8</v>
      </c>
      <c r="G2778">
        <v>98.6</v>
      </c>
      <c r="H2778">
        <v>143.6</v>
      </c>
      <c r="I2778">
        <v>147</v>
      </c>
      <c r="J2778">
        <v>100</v>
      </c>
      <c r="K2778">
        <v>100</v>
      </c>
      <c r="L2778" s="1" t="s">
        <v>6563</v>
      </c>
      <c r="M2778" t="s">
        <v>285</v>
      </c>
      <c r="N2778">
        <v>1</v>
      </c>
    </row>
    <row r="2779" spans="1:14" x14ac:dyDescent="0.25">
      <c r="A2779" s="3" t="str">
        <f>HYPERLINK("http://www.ncbi.nlm.nih.gov/gene/9722","9722")</f>
        <v>9722</v>
      </c>
      <c r="B2779" s="1" t="s">
        <v>6565</v>
      </c>
      <c r="C2779" t="s">
        <v>6566</v>
      </c>
      <c r="D2779">
        <v>185.3</v>
      </c>
      <c r="E2779">
        <v>189.5</v>
      </c>
      <c r="F2779">
        <v>100</v>
      </c>
      <c r="G2779">
        <v>99.9</v>
      </c>
      <c r="H2779">
        <v>118.8</v>
      </c>
      <c r="I2779">
        <v>120.8</v>
      </c>
      <c r="J2779">
        <v>100</v>
      </c>
      <c r="K2779">
        <v>100</v>
      </c>
      <c r="L2779" s="1" t="s">
        <v>6565</v>
      </c>
      <c r="M2779" t="s">
        <v>197</v>
      </c>
      <c r="N2779">
        <v>2</v>
      </c>
    </row>
    <row r="2780" spans="1:14" x14ac:dyDescent="0.25">
      <c r="A2780" s="3" t="str">
        <f>HYPERLINK("http://www.ncbi.nlm.nih.gov/gene/4843","4843")</f>
        <v>4843</v>
      </c>
      <c r="B2780" s="1" t="s">
        <v>6567</v>
      </c>
      <c r="C2780" t="s">
        <v>6568</v>
      </c>
      <c r="D2780">
        <v>107.5</v>
      </c>
      <c r="E2780">
        <v>111.8</v>
      </c>
      <c r="F2780">
        <v>96.6</v>
      </c>
      <c r="G2780">
        <v>92.4</v>
      </c>
      <c r="H2780">
        <v>143.19999999999999</v>
      </c>
      <c r="I2780">
        <v>147.4</v>
      </c>
      <c r="J2780">
        <v>100</v>
      </c>
      <c r="K2780">
        <v>100</v>
      </c>
      <c r="L2780" s="1" t="s">
        <v>6567</v>
      </c>
      <c r="M2780" t="s">
        <v>502</v>
      </c>
      <c r="N2780">
        <v>2</v>
      </c>
    </row>
    <row r="2781" spans="1:14" x14ac:dyDescent="0.25">
      <c r="A2781" s="3" t="str">
        <f>HYPERLINK("http://www.ncbi.nlm.nih.gov/gene/4846","4846")</f>
        <v>4846</v>
      </c>
      <c r="B2781" s="1" t="s">
        <v>6569</v>
      </c>
      <c r="C2781" t="s">
        <v>6570</v>
      </c>
      <c r="D2781">
        <v>127.2</v>
      </c>
      <c r="E2781">
        <v>130.6</v>
      </c>
      <c r="F2781">
        <v>95.8</v>
      </c>
      <c r="G2781">
        <v>93.3</v>
      </c>
      <c r="H2781">
        <v>128.80000000000001</v>
      </c>
      <c r="I2781">
        <v>132.4</v>
      </c>
      <c r="J2781">
        <v>94.1</v>
      </c>
      <c r="K2781">
        <v>94</v>
      </c>
      <c r="L2781" s="1" t="s">
        <v>6569</v>
      </c>
      <c r="M2781" t="s">
        <v>661</v>
      </c>
      <c r="N2781">
        <v>2</v>
      </c>
    </row>
    <row r="2782" spans="1:14" x14ac:dyDescent="0.25">
      <c r="A2782" s="3" t="str">
        <f>HYPERLINK("http://www.ncbi.nlm.nih.gov/gene/4851","4851")</f>
        <v>4851</v>
      </c>
      <c r="B2782" s="1" t="s">
        <v>6571</v>
      </c>
      <c r="C2782" t="s">
        <v>6572</v>
      </c>
      <c r="D2782">
        <v>118.9</v>
      </c>
      <c r="E2782">
        <v>121.7</v>
      </c>
      <c r="F2782">
        <v>99.2</v>
      </c>
      <c r="G2782">
        <v>97.2</v>
      </c>
      <c r="H2782">
        <v>155.1</v>
      </c>
      <c r="I2782">
        <v>157.80000000000001</v>
      </c>
      <c r="J2782">
        <v>100</v>
      </c>
      <c r="K2782">
        <v>100</v>
      </c>
      <c r="L2782" s="1" t="s">
        <v>6571</v>
      </c>
      <c r="M2782" t="s">
        <v>6573</v>
      </c>
      <c r="N2782">
        <v>7</v>
      </c>
    </row>
    <row r="2783" spans="1:14" x14ac:dyDescent="0.25">
      <c r="A2783" s="3" t="str">
        <f>HYPERLINK("http://www.ncbi.nlm.nih.gov/gene/4853","4853")</f>
        <v>4853</v>
      </c>
      <c r="B2783" s="1" t="s">
        <v>6574</v>
      </c>
      <c r="C2783" t="s">
        <v>6575</v>
      </c>
      <c r="D2783">
        <v>141.80000000000001</v>
      </c>
      <c r="E2783">
        <v>146.69999999999999</v>
      </c>
      <c r="F2783">
        <v>100</v>
      </c>
      <c r="G2783">
        <v>99.5</v>
      </c>
      <c r="H2783">
        <v>172.4</v>
      </c>
      <c r="I2783">
        <v>176.8</v>
      </c>
      <c r="J2783">
        <v>100</v>
      </c>
      <c r="K2783">
        <v>100</v>
      </c>
      <c r="L2783" s="1" t="s">
        <v>6574</v>
      </c>
      <c r="M2783" t="s">
        <v>6576</v>
      </c>
      <c r="N2783">
        <v>6</v>
      </c>
    </row>
    <row r="2784" spans="1:14" x14ac:dyDescent="0.25">
      <c r="A2784" s="3" t="str">
        <f>HYPERLINK("http://www.ncbi.nlm.nih.gov/gene/4854","4854")</f>
        <v>4854</v>
      </c>
      <c r="B2784" s="1" t="s">
        <v>6577</v>
      </c>
      <c r="C2784" t="s">
        <v>6578</v>
      </c>
      <c r="D2784">
        <v>98.4</v>
      </c>
      <c r="E2784">
        <v>97.6</v>
      </c>
      <c r="F2784">
        <v>94</v>
      </c>
      <c r="G2784">
        <v>90.2</v>
      </c>
      <c r="H2784">
        <v>146.6</v>
      </c>
      <c r="I2784">
        <v>149.6</v>
      </c>
      <c r="J2784">
        <v>99.9</v>
      </c>
      <c r="K2784">
        <v>99.4</v>
      </c>
      <c r="L2784" s="1" t="s">
        <v>6577</v>
      </c>
      <c r="M2784" t="s">
        <v>285</v>
      </c>
      <c r="N2784">
        <v>1</v>
      </c>
    </row>
    <row r="2785" spans="1:14" x14ac:dyDescent="0.25">
      <c r="A2785" s="3" t="str">
        <f>HYPERLINK("http://www.ncbi.nlm.nih.gov/gene/4855","4855")</f>
        <v>4855</v>
      </c>
      <c r="B2785" s="1" t="s">
        <v>6579</v>
      </c>
      <c r="C2785" t="s">
        <v>6580</v>
      </c>
      <c r="D2785">
        <v>119.8</v>
      </c>
      <c r="E2785">
        <v>118.9</v>
      </c>
      <c r="F2785">
        <v>99.5</v>
      </c>
      <c r="G2785">
        <v>98.1</v>
      </c>
      <c r="H2785">
        <v>239.2</v>
      </c>
      <c r="I2785">
        <v>244.2</v>
      </c>
      <c r="J2785">
        <v>100</v>
      </c>
      <c r="K2785">
        <v>100</v>
      </c>
      <c r="L2785" s="1" t="s">
        <v>6579</v>
      </c>
      <c r="M2785" t="s">
        <v>661</v>
      </c>
      <c r="N2785">
        <v>2</v>
      </c>
    </row>
    <row r="2786" spans="1:14" x14ac:dyDescent="0.25">
      <c r="A2786" s="3" t="str">
        <f>HYPERLINK("http://www.ncbi.nlm.nih.gov/gene/4858","4858")</f>
        <v>4858</v>
      </c>
      <c r="B2786" s="1" t="s">
        <v>6581</v>
      </c>
      <c r="C2786" t="s">
        <v>6582</v>
      </c>
      <c r="D2786">
        <v>143.5</v>
      </c>
      <c r="E2786">
        <v>118.4</v>
      </c>
      <c r="F2786">
        <v>99</v>
      </c>
      <c r="G2786">
        <v>94.6</v>
      </c>
      <c r="H2786">
        <v>116.4</v>
      </c>
      <c r="I2786">
        <v>121.3</v>
      </c>
      <c r="J2786">
        <v>96.8</v>
      </c>
      <c r="K2786">
        <v>93.3</v>
      </c>
      <c r="L2786" s="1" t="s">
        <v>6581</v>
      </c>
      <c r="M2786" t="s">
        <v>189</v>
      </c>
      <c r="N2786">
        <v>2</v>
      </c>
    </row>
    <row r="2787" spans="1:14" x14ac:dyDescent="0.25">
      <c r="A2787" s="3" t="str">
        <f>HYPERLINK("http://www.ncbi.nlm.nih.gov/gene/4863","4863")</f>
        <v>4863</v>
      </c>
      <c r="B2787" s="1" t="s">
        <v>6583</v>
      </c>
      <c r="C2787" t="s">
        <v>6584</v>
      </c>
      <c r="D2787">
        <v>136.5</v>
      </c>
      <c r="E2787">
        <v>144.19999999999999</v>
      </c>
      <c r="F2787">
        <v>99.8</v>
      </c>
      <c r="G2787">
        <v>98.7</v>
      </c>
      <c r="H2787">
        <v>131.19999999999999</v>
      </c>
      <c r="I2787">
        <v>131.5</v>
      </c>
      <c r="J2787">
        <v>100</v>
      </c>
      <c r="K2787">
        <v>100</v>
      </c>
      <c r="L2787" s="1" t="s">
        <v>6583</v>
      </c>
      <c r="M2787" t="s">
        <v>5323</v>
      </c>
      <c r="N2787">
        <v>2</v>
      </c>
    </row>
    <row r="2788" spans="1:14" x14ac:dyDescent="0.25">
      <c r="A2788" s="3" t="str">
        <f>HYPERLINK("http://www.ncbi.nlm.nih.gov/gene/4864","4864")</f>
        <v>4864</v>
      </c>
      <c r="B2788" s="1" t="s">
        <v>6585</v>
      </c>
      <c r="C2788" t="s">
        <v>6586</v>
      </c>
      <c r="D2788">
        <v>132.5</v>
      </c>
      <c r="E2788">
        <v>136.4</v>
      </c>
      <c r="F2788">
        <v>99.6</v>
      </c>
      <c r="G2788">
        <v>98.7</v>
      </c>
      <c r="H2788">
        <v>132.69999999999999</v>
      </c>
      <c r="I2788">
        <v>137.1</v>
      </c>
      <c r="J2788">
        <v>100</v>
      </c>
      <c r="K2788">
        <v>100</v>
      </c>
      <c r="L2788" s="1" t="s">
        <v>6585</v>
      </c>
      <c r="M2788" t="s">
        <v>6587</v>
      </c>
      <c r="N2788">
        <v>6</v>
      </c>
    </row>
    <row r="2789" spans="1:14" x14ac:dyDescent="0.25">
      <c r="A2789" s="3" t="str">
        <f>HYPERLINK("http://www.ncbi.nlm.nih.gov/gene/10577","10577")</f>
        <v>10577</v>
      </c>
      <c r="B2789" s="1" t="s">
        <v>6588</v>
      </c>
      <c r="C2789" t="s">
        <v>6589</v>
      </c>
      <c r="D2789">
        <v>155.69999999999999</v>
      </c>
      <c r="E2789">
        <v>160.5</v>
      </c>
      <c r="F2789">
        <v>100</v>
      </c>
      <c r="G2789">
        <v>99.6</v>
      </c>
      <c r="H2789">
        <v>129.80000000000001</v>
      </c>
      <c r="I2789">
        <v>134.5</v>
      </c>
      <c r="J2789">
        <v>100</v>
      </c>
      <c r="K2789">
        <v>100</v>
      </c>
      <c r="L2789" s="1" t="s">
        <v>6588</v>
      </c>
      <c r="M2789" t="s">
        <v>6587</v>
      </c>
      <c r="N2789">
        <v>6</v>
      </c>
    </row>
    <row r="2790" spans="1:14" x14ac:dyDescent="0.25">
      <c r="A2790" s="3" t="str">
        <f>HYPERLINK("http://www.ncbi.nlm.nih.gov/gene/4867","4867")</f>
        <v>4867</v>
      </c>
      <c r="B2790" s="1" t="s">
        <v>6590</v>
      </c>
      <c r="C2790" t="s">
        <v>6591</v>
      </c>
      <c r="D2790">
        <v>148.1</v>
      </c>
      <c r="E2790">
        <v>152</v>
      </c>
      <c r="F2790">
        <v>100</v>
      </c>
      <c r="G2790">
        <v>99</v>
      </c>
      <c r="H2790">
        <v>146.30000000000001</v>
      </c>
      <c r="I2790">
        <v>150.5</v>
      </c>
      <c r="J2790">
        <v>100</v>
      </c>
      <c r="K2790">
        <v>100</v>
      </c>
      <c r="L2790" s="1" t="s">
        <v>6590</v>
      </c>
      <c r="M2790" t="s">
        <v>372</v>
      </c>
      <c r="N2790">
        <v>6</v>
      </c>
    </row>
    <row r="2791" spans="1:14" x14ac:dyDescent="0.25">
      <c r="A2791" s="3" t="str">
        <f>HYPERLINK("http://www.ncbi.nlm.nih.gov/gene/27031","27031")</f>
        <v>27031</v>
      </c>
      <c r="B2791" s="1" t="s">
        <v>6592</v>
      </c>
      <c r="C2791" t="s">
        <v>6593</v>
      </c>
      <c r="D2791">
        <v>139.30000000000001</v>
      </c>
      <c r="E2791">
        <v>143.4</v>
      </c>
      <c r="F2791">
        <v>99.7</v>
      </c>
      <c r="G2791">
        <v>98.4</v>
      </c>
      <c r="H2791">
        <v>127.9</v>
      </c>
      <c r="I2791">
        <v>131.4</v>
      </c>
      <c r="J2791">
        <v>100</v>
      </c>
      <c r="K2791">
        <v>100</v>
      </c>
      <c r="L2791" s="1" t="s">
        <v>6592</v>
      </c>
      <c r="M2791" t="s">
        <v>4799</v>
      </c>
      <c r="N2791">
        <v>6</v>
      </c>
    </row>
    <row r="2792" spans="1:14" x14ac:dyDescent="0.25">
      <c r="A2792" s="3" t="str">
        <f>HYPERLINK("http://www.ncbi.nlm.nih.gov/gene/261734","261734")</f>
        <v>261734</v>
      </c>
      <c r="B2792" s="1" t="s">
        <v>6594</v>
      </c>
      <c r="C2792" t="s">
        <v>6595</v>
      </c>
      <c r="D2792">
        <v>130.69999999999999</v>
      </c>
      <c r="E2792">
        <v>137.80000000000001</v>
      </c>
      <c r="F2792">
        <v>100</v>
      </c>
      <c r="G2792">
        <v>99.8</v>
      </c>
      <c r="H2792">
        <v>142.4</v>
      </c>
      <c r="I2792">
        <v>146.69999999999999</v>
      </c>
      <c r="J2792">
        <v>100</v>
      </c>
      <c r="K2792">
        <v>100</v>
      </c>
      <c r="L2792" s="1" t="s">
        <v>6594</v>
      </c>
      <c r="M2792" t="s">
        <v>1063</v>
      </c>
      <c r="N2792">
        <v>5</v>
      </c>
    </row>
    <row r="2793" spans="1:14" x14ac:dyDescent="0.25">
      <c r="A2793" s="3" t="str">
        <f>HYPERLINK("http://www.ncbi.nlm.nih.gov/gene/4868","4868")</f>
        <v>4868</v>
      </c>
      <c r="B2793" s="1" t="s">
        <v>6596</v>
      </c>
      <c r="C2793" t="s">
        <v>6597</v>
      </c>
      <c r="D2793">
        <v>114.2</v>
      </c>
      <c r="E2793">
        <v>117.2</v>
      </c>
      <c r="F2793">
        <v>99.8</v>
      </c>
      <c r="G2793">
        <v>99.1</v>
      </c>
      <c r="H2793">
        <v>138</v>
      </c>
      <c r="I2793">
        <v>141.19999999999999</v>
      </c>
      <c r="J2793">
        <v>100</v>
      </c>
      <c r="K2793">
        <v>100</v>
      </c>
      <c r="L2793" s="1" t="s">
        <v>6596</v>
      </c>
      <c r="M2793" t="s">
        <v>357</v>
      </c>
      <c r="N2793">
        <v>3</v>
      </c>
    </row>
    <row r="2794" spans="1:14" x14ac:dyDescent="0.25">
      <c r="A2794" s="3" t="str">
        <f>HYPERLINK("http://www.ncbi.nlm.nih.gov/gene/7827","7827")</f>
        <v>7827</v>
      </c>
      <c r="B2794" s="1" t="s">
        <v>6598</v>
      </c>
      <c r="C2794" t="s">
        <v>6599</v>
      </c>
      <c r="D2794">
        <v>114.2</v>
      </c>
      <c r="E2794">
        <v>115</v>
      </c>
      <c r="F2794">
        <v>100</v>
      </c>
      <c r="G2794">
        <v>99.5</v>
      </c>
      <c r="H2794">
        <v>126.9</v>
      </c>
      <c r="I2794">
        <v>130.6</v>
      </c>
      <c r="J2794">
        <v>100</v>
      </c>
      <c r="K2794">
        <v>100</v>
      </c>
      <c r="L2794" s="1" t="s">
        <v>6598</v>
      </c>
      <c r="M2794" t="s">
        <v>357</v>
      </c>
      <c r="N2794">
        <v>3</v>
      </c>
    </row>
    <row r="2795" spans="1:14" x14ac:dyDescent="0.25">
      <c r="A2795" s="3" t="str">
        <f>HYPERLINK("http://www.ncbi.nlm.nih.gov/gene/80896","80896")</f>
        <v>80896</v>
      </c>
      <c r="B2795" s="1" t="s">
        <v>6600</v>
      </c>
      <c r="C2795" t="s">
        <v>6601</v>
      </c>
      <c r="D2795">
        <v>130.19999999999999</v>
      </c>
      <c r="E2795">
        <v>134.80000000000001</v>
      </c>
      <c r="F2795">
        <v>100</v>
      </c>
      <c r="G2795">
        <v>99.9</v>
      </c>
      <c r="H2795">
        <v>135.19999999999999</v>
      </c>
      <c r="I2795">
        <v>138.5</v>
      </c>
      <c r="J2795">
        <v>100</v>
      </c>
      <c r="K2795">
        <v>100</v>
      </c>
      <c r="L2795" s="1" t="s">
        <v>6600</v>
      </c>
      <c r="M2795" t="s">
        <v>93</v>
      </c>
      <c r="N2795">
        <v>2</v>
      </c>
    </row>
    <row r="2796" spans="1:14" x14ac:dyDescent="0.25">
      <c r="A2796" s="3" t="str">
        <f>HYPERLINK("http://www.ncbi.nlm.nih.gov/gene/4869","4869")</f>
        <v>4869</v>
      </c>
      <c r="B2796" s="1" t="s">
        <v>6602</v>
      </c>
      <c r="C2796" t="s">
        <v>6603</v>
      </c>
      <c r="D2796">
        <v>91.5</v>
      </c>
      <c r="E2796">
        <v>90.1</v>
      </c>
      <c r="F2796">
        <v>98.2</v>
      </c>
      <c r="G2796">
        <v>85.3</v>
      </c>
      <c r="H2796">
        <v>108.7</v>
      </c>
      <c r="I2796">
        <v>110.5</v>
      </c>
      <c r="J2796">
        <v>100</v>
      </c>
      <c r="K2796">
        <v>100</v>
      </c>
      <c r="L2796" s="1" t="s">
        <v>6602</v>
      </c>
      <c r="M2796" t="s">
        <v>6604</v>
      </c>
      <c r="N2796">
        <v>4</v>
      </c>
    </row>
    <row r="2797" spans="1:14" x14ac:dyDescent="0.25">
      <c r="A2797" s="3" t="str">
        <f>HYPERLINK("http://www.ncbi.nlm.nih.gov/gene/4878","4878")</f>
        <v>4878</v>
      </c>
      <c r="B2797" s="1" t="s">
        <v>6605</v>
      </c>
      <c r="C2797" t="s">
        <v>6606</v>
      </c>
      <c r="D2797">
        <v>205.4</v>
      </c>
      <c r="E2797">
        <v>192.4</v>
      </c>
      <c r="F2797">
        <v>100</v>
      </c>
      <c r="G2797">
        <v>100</v>
      </c>
      <c r="H2797">
        <v>135.1</v>
      </c>
      <c r="I2797">
        <v>137.30000000000001</v>
      </c>
      <c r="J2797">
        <v>100</v>
      </c>
      <c r="K2797">
        <v>100</v>
      </c>
      <c r="L2797" s="1" t="s">
        <v>6605</v>
      </c>
      <c r="M2797" t="s">
        <v>505</v>
      </c>
      <c r="N2797">
        <v>3</v>
      </c>
    </row>
    <row r="2798" spans="1:14" x14ac:dyDescent="0.25">
      <c r="A2798" s="3" t="str">
        <f>HYPERLINK("http://www.ncbi.nlm.nih.gov/gene/4879","4879")</f>
        <v>4879</v>
      </c>
      <c r="B2798" s="1" t="s">
        <v>6607</v>
      </c>
      <c r="C2798" t="s">
        <v>6608</v>
      </c>
      <c r="D2798">
        <v>233</v>
      </c>
      <c r="E2798">
        <v>243.3</v>
      </c>
      <c r="F2798">
        <v>100</v>
      </c>
      <c r="G2798">
        <v>100</v>
      </c>
      <c r="H2798">
        <v>184.4</v>
      </c>
      <c r="I2798">
        <v>190</v>
      </c>
      <c r="J2798">
        <v>100</v>
      </c>
      <c r="K2798">
        <v>100</v>
      </c>
      <c r="L2798" s="1" t="s">
        <v>6607</v>
      </c>
      <c r="M2798" t="s">
        <v>5165</v>
      </c>
      <c r="N2798">
        <v>2</v>
      </c>
    </row>
    <row r="2799" spans="1:14" x14ac:dyDescent="0.25">
      <c r="A2799" s="3" t="str">
        <f>HYPERLINK("http://www.ncbi.nlm.nih.gov/gene/4880","4880")</f>
        <v>4880</v>
      </c>
      <c r="B2799" s="1" t="s">
        <v>6609</v>
      </c>
      <c r="C2799" t="s">
        <v>6610</v>
      </c>
      <c r="D2799">
        <v>94.4</v>
      </c>
      <c r="E2799">
        <v>99.2</v>
      </c>
      <c r="F2799">
        <v>100</v>
      </c>
      <c r="G2799">
        <v>99</v>
      </c>
      <c r="H2799">
        <v>157</v>
      </c>
      <c r="I2799">
        <v>163.1</v>
      </c>
      <c r="J2799">
        <v>100</v>
      </c>
      <c r="K2799">
        <v>100</v>
      </c>
      <c r="L2799" s="1" t="s">
        <v>6609</v>
      </c>
      <c r="M2799" t="s">
        <v>1253</v>
      </c>
      <c r="N2799">
        <v>2</v>
      </c>
    </row>
    <row r="2800" spans="1:14" x14ac:dyDescent="0.25">
      <c r="A2800" s="3" t="str">
        <f>HYPERLINK("http://www.ncbi.nlm.nih.gov/gene/4882","4882")</f>
        <v>4882</v>
      </c>
      <c r="B2800" s="1" t="s">
        <v>6611</v>
      </c>
      <c r="C2800" t="s">
        <v>6612</v>
      </c>
      <c r="D2800">
        <v>153.1</v>
      </c>
      <c r="E2800">
        <v>157.30000000000001</v>
      </c>
      <c r="F2800">
        <v>100</v>
      </c>
      <c r="G2800">
        <v>99.6</v>
      </c>
      <c r="H2800">
        <v>148</v>
      </c>
      <c r="I2800">
        <v>151.30000000000001</v>
      </c>
      <c r="J2800">
        <v>100</v>
      </c>
      <c r="K2800">
        <v>100</v>
      </c>
      <c r="L2800" s="1" t="s">
        <v>6611</v>
      </c>
      <c r="M2800" t="s">
        <v>1190</v>
      </c>
      <c r="N2800">
        <v>3</v>
      </c>
    </row>
    <row r="2801" spans="1:14" x14ac:dyDescent="0.25">
      <c r="A2801" s="3" t="str">
        <f>HYPERLINK("http://www.ncbi.nlm.nih.gov/gene/4883","4883")</f>
        <v>4883</v>
      </c>
      <c r="B2801" s="1" t="s">
        <v>6613</v>
      </c>
      <c r="C2801" t="s">
        <v>6614</v>
      </c>
      <c r="D2801">
        <v>191.7</v>
      </c>
      <c r="E2801">
        <v>188.6</v>
      </c>
      <c r="F2801">
        <v>100</v>
      </c>
      <c r="G2801">
        <v>100</v>
      </c>
      <c r="H2801">
        <v>127.7</v>
      </c>
      <c r="I2801">
        <v>129.9</v>
      </c>
      <c r="J2801">
        <v>100</v>
      </c>
      <c r="K2801">
        <v>100</v>
      </c>
      <c r="L2801" s="1" t="s">
        <v>6613</v>
      </c>
      <c r="M2801" t="s">
        <v>1487</v>
      </c>
      <c r="N2801">
        <v>2</v>
      </c>
    </row>
    <row r="2802" spans="1:14" x14ac:dyDescent="0.25">
      <c r="A2802" s="3" t="str">
        <f>HYPERLINK("http://www.ncbi.nlm.nih.gov/gene/10641","10641")</f>
        <v>10641</v>
      </c>
      <c r="B2802" s="1" t="s">
        <v>6615</v>
      </c>
      <c r="C2802" t="s">
        <v>6616</v>
      </c>
      <c r="D2802">
        <v>156.6</v>
      </c>
      <c r="E2802">
        <v>157.9</v>
      </c>
      <c r="F2802">
        <v>100</v>
      </c>
      <c r="G2802">
        <v>100</v>
      </c>
      <c r="H2802">
        <v>131.19999999999999</v>
      </c>
      <c r="I2802">
        <v>133.19999999999999</v>
      </c>
      <c r="J2802">
        <v>100</v>
      </c>
      <c r="K2802">
        <v>100</v>
      </c>
      <c r="L2802" s="1" t="s">
        <v>6615</v>
      </c>
      <c r="M2802" t="s">
        <v>1867</v>
      </c>
      <c r="N2802">
        <v>2</v>
      </c>
    </row>
    <row r="2803" spans="1:14" x14ac:dyDescent="0.25">
      <c r="A2803" s="3" t="str">
        <f>HYPERLINK("http://www.ncbi.nlm.nih.gov/gene/8131","8131")</f>
        <v>8131</v>
      </c>
      <c r="B2803" s="1" t="s">
        <v>6617</v>
      </c>
      <c r="C2803" t="s">
        <v>6618</v>
      </c>
      <c r="D2803">
        <v>123.9</v>
      </c>
      <c r="E2803">
        <v>130.9</v>
      </c>
      <c r="F2803">
        <v>100</v>
      </c>
      <c r="G2803">
        <v>99.6</v>
      </c>
      <c r="H2803">
        <v>131.6</v>
      </c>
      <c r="I2803">
        <v>134.5</v>
      </c>
      <c r="J2803">
        <v>100</v>
      </c>
      <c r="K2803">
        <v>100</v>
      </c>
      <c r="L2803" s="1" t="s">
        <v>6617</v>
      </c>
      <c r="M2803" t="s">
        <v>1867</v>
      </c>
      <c r="N2803">
        <v>2</v>
      </c>
    </row>
    <row r="2804" spans="1:14" x14ac:dyDescent="0.25">
      <c r="A2804" s="3" t="str">
        <f>HYPERLINK("http://www.ncbi.nlm.nih.gov/gene/190","190")</f>
        <v>190</v>
      </c>
      <c r="B2804" s="1" t="s">
        <v>6619</v>
      </c>
      <c r="C2804" t="s">
        <v>6620</v>
      </c>
      <c r="D2804">
        <v>143.5</v>
      </c>
      <c r="E2804">
        <v>132.19999999999999</v>
      </c>
      <c r="F2804">
        <v>100</v>
      </c>
      <c r="G2804">
        <v>99.5</v>
      </c>
      <c r="H2804">
        <v>148.30000000000001</v>
      </c>
      <c r="I2804">
        <v>145.1</v>
      </c>
      <c r="J2804">
        <v>100</v>
      </c>
      <c r="K2804">
        <v>100</v>
      </c>
      <c r="L2804" s="1" t="s">
        <v>6619</v>
      </c>
      <c r="M2804" t="s">
        <v>6621</v>
      </c>
      <c r="N2804">
        <v>3</v>
      </c>
    </row>
    <row r="2805" spans="1:14" x14ac:dyDescent="0.25">
      <c r="A2805" s="3" t="str">
        <f>HYPERLINK("http://www.ncbi.nlm.nih.gov/gene/8431","8431")</f>
        <v>8431</v>
      </c>
      <c r="B2805" s="1" t="s">
        <v>6622</v>
      </c>
      <c r="C2805" t="s">
        <v>6623</v>
      </c>
      <c r="D2805">
        <v>115.1</v>
      </c>
      <c r="E2805">
        <v>114.7</v>
      </c>
      <c r="F2805">
        <v>100</v>
      </c>
      <c r="G2805">
        <v>99.3</v>
      </c>
      <c r="H2805">
        <v>128.30000000000001</v>
      </c>
      <c r="I2805">
        <v>130.69999999999999</v>
      </c>
      <c r="J2805">
        <v>100</v>
      </c>
      <c r="K2805">
        <v>100</v>
      </c>
      <c r="L2805" s="1" t="s">
        <v>6622</v>
      </c>
      <c r="M2805" t="s">
        <v>428</v>
      </c>
      <c r="N2805">
        <v>2</v>
      </c>
    </row>
    <row r="2806" spans="1:14" x14ac:dyDescent="0.25">
      <c r="A2806" s="3" t="str">
        <f>HYPERLINK("http://www.ncbi.nlm.nih.gov/gene/9971","9971")</f>
        <v>9971</v>
      </c>
      <c r="B2806" s="1" t="s">
        <v>6624</v>
      </c>
      <c r="C2806" t="s">
        <v>6625</v>
      </c>
      <c r="D2806">
        <v>144.30000000000001</v>
      </c>
      <c r="E2806">
        <v>147.9</v>
      </c>
      <c r="F2806">
        <v>99.8</v>
      </c>
      <c r="G2806">
        <v>98.5</v>
      </c>
      <c r="H2806">
        <v>128.69999999999999</v>
      </c>
      <c r="I2806">
        <v>131.69999999999999</v>
      </c>
      <c r="J2806">
        <v>100</v>
      </c>
      <c r="K2806">
        <v>100</v>
      </c>
      <c r="L2806" s="1" t="s">
        <v>6624</v>
      </c>
      <c r="M2806" t="s">
        <v>65</v>
      </c>
      <c r="N2806">
        <v>3</v>
      </c>
    </row>
    <row r="2807" spans="1:14" x14ac:dyDescent="0.25">
      <c r="A2807" s="3" t="str">
        <f>HYPERLINK("http://www.ncbi.nlm.nih.gov/gene/10002","10002")</f>
        <v>10002</v>
      </c>
      <c r="B2807" s="1" t="s">
        <v>6626</v>
      </c>
      <c r="C2807" t="s">
        <v>6627</v>
      </c>
      <c r="D2807">
        <v>101.4</v>
      </c>
      <c r="E2807">
        <v>103.9</v>
      </c>
      <c r="F2807">
        <v>100</v>
      </c>
      <c r="G2807">
        <v>99.6</v>
      </c>
      <c r="H2807">
        <v>133.1</v>
      </c>
      <c r="I2807">
        <v>136.6</v>
      </c>
      <c r="J2807">
        <v>100</v>
      </c>
      <c r="K2807">
        <v>100</v>
      </c>
      <c r="L2807" s="1" t="s">
        <v>6626</v>
      </c>
      <c r="M2807" t="s">
        <v>1130</v>
      </c>
      <c r="N2807">
        <v>3</v>
      </c>
    </row>
    <row r="2808" spans="1:14" x14ac:dyDescent="0.25">
      <c r="A2808" s="3" t="str">
        <f>HYPERLINK("http://www.ncbi.nlm.nih.gov/gene/7025","7025")</f>
        <v>7025</v>
      </c>
      <c r="B2808" s="1" t="s">
        <v>6628</v>
      </c>
      <c r="C2808" t="s">
        <v>6629</v>
      </c>
      <c r="D2808">
        <v>180.9</v>
      </c>
      <c r="E2808">
        <v>182.5</v>
      </c>
      <c r="F2808">
        <v>100</v>
      </c>
      <c r="G2808">
        <v>100</v>
      </c>
      <c r="H2808">
        <v>147.9</v>
      </c>
      <c r="I2808">
        <v>157.19999999999999</v>
      </c>
      <c r="J2808">
        <v>99.1</v>
      </c>
      <c r="K2808">
        <v>95.1</v>
      </c>
      <c r="L2808" s="1" t="s">
        <v>6628</v>
      </c>
      <c r="M2808" t="s">
        <v>6630</v>
      </c>
      <c r="N2808">
        <v>4</v>
      </c>
    </row>
    <row r="2809" spans="1:14" x14ac:dyDescent="0.25">
      <c r="A2809" s="3" t="str">
        <f>HYPERLINK("http://www.ncbi.nlm.nih.gov/gene/7026","7026")</f>
        <v>7026</v>
      </c>
      <c r="B2809" s="1" t="s">
        <v>6631</v>
      </c>
      <c r="C2809" t="s">
        <v>6632</v>
      </c>
      <c r="D2809">
        <v>223.5</v>
      </c>
      <c r="E2809">
        <v>221.5</v>
      </c>
      <c r="F2809">
        <v>100</v>
      </c>
      <c r="G2809">
        <v>98.5</v>
      </c>
      <c r="H2809">
        <v>175.4</v>
      </c>
      <c r="I2809">
        <v>181.9</v>
      </c>
      <c r="J2809">
        <v>100</v>
      </c>
      <c r="K2809">
        <v>100</v>
      </c>
      <c r="L2809" s="1" t="s">
        <v>6631</v>
      </c>
      <c r="M2809" t="s">
        <v>180</v>
      </c>
      <c r="N2809">
        <v>3</v>
      </c>
    </row>
    <row r="2810" spans="1:14" x14ac:dyDescent="0.25">
      <c r="A2810" s="3" t="str">
        <f>HYPERLINK("http://www.ncbi.nlm.nih.gov/gene/2908","2908")</f>
        <v>2908</v>
      </c>
      <c r="B2810" s="1" t="s">
        <v>6633</v>
      </c>
      <c r="C2810" t="s">
        <v>6634</v>
      </c>
      <c r="D2810">
        <v>161.4</v>
      </c>
      <c r="E2810">
        <v>164.1</v>
      </c>
      <c r="F2810">
        <v>100</v>
      </c>
      <c r="G2810">
        <v>99.9</v>
      </c>
      <c r="H2810">
        <v>127.5</v>
      </c>
      <c r="I2810">
        <v>129.30000000000001</v>
      </c>
      <c r="J2810">
        <v>100</v>
      </c>
      <c r="K2810">
        <v>100</v>
      </c>
      <c r="L2810" s="1" t="s">
        <v>6633</v>
      </c>
      <c r="M2810" t="s">
        <v>840</v>
      </c>
      <c r="N2810">
        <v>2</v>
      </c>
    </row>
    <row r="2811" spans="1:14" x14ac:dyDescent="0.25">
      <c r="A2811" s="3" t="str">
        <f>HYPERLINK("http://www.ncbi.nlm.nih.gov/gene/4306","4306")</f>
        <v>4306</v>
      </c>
      <c r="B2811" s="1" t="s">
        <v>6635</v>
      </c>
      <c r="C2811" t="s">
        <v>6636</v>
      </c>
      <c r="D2811">
        <v>162.30000000000001</v>
      </c>
      <c r="E2811">
        <v>156.4</v>
      </c>
      <c r="F2811">
        <v>100</v>
      </c>
      <c r="G2811">
        <v>99.7</v>
      </c>
      <c r="H2811">
        <v>154.1</v>
      </c>
      <c r="I2811">
        <v>156.4</v>
      </c>
      <c r="J2811">
        <v>100</v>
      </c>
      <c r="K2811">
        <v>100</v>
      </c>
      <c r="L2811" s="1" t="s">
        <v>6635</v>
      </c>
      <c r="M2811" t="s">
        <v>6637</v>
      </c>
      <c r="N2811">
        <v>3</v>
      </c>
    </row>
    <row r="2812" spans="1:14" x14ac:dyDescent="0.25">
      <c r="A2812" s="3" t="str">
        <f>HYPERLINK("http://www.ncbi.nlm.nih.gov/gene/4929","4929")</f>
        <v>4929</v>
      </c>
      <c r="B2812" s="1" t="s">
        <v>6638</v>
      </c>
      <c r="C2812" t="s">
        <v>6639</v>
      </c>
      <c r="D2812">
        <v>154.80000000000001</v>
      </c>
      <c r="E2812">
        <v>138.69999999999999</v>
      </c>
      <c r="F2812">
        <v>100</v>
      </c>
      <c r="G2812">
        <v>100</v>
      </c>
      <c r="H2812">
        <v>162.30000000000001</v>
      </c>
      <c r="I2812">
        <v>163.5</v>
      </c>
      <c r="J2812">
        <v>100</v>
      </c>
      <c r="K2812">
        <v>100</v>
      </c>
      <c r="L2812" s="1" t="s">
        <v>6638</v>
      </c>
      <c r="M2812" t="s">
        <v>189</v>
      </c>
      <c r="N2812">
        <v>2</v>
      </c>
    </row>
    <row r="2813" spans="1:14" x14ac:dyDescent="0.25">
      <c r="A2813" s="3" t="str">
        <f>HYPERLINK("http://www.ncbi.nlm.nih.gov/gene/8013","8013")</f>
        <v>8013</v>
      </c>
      <c r="B2813" s="1" t="s">
        <v>6640</v>
      </c>
      <c r="C2813" t="s">
        <v>6641</v>
      </c>
      <c r="D2813">
        <v>149.6</v>
      </c>
      <c r="E2813">
        <v>123.3</v>
      </c>
      <c r="F2813">
        <v>99.9</v>
      </c>
      <c r="G2813">
        <v>98</v>
      </c>
      <c r="H2813">
        <v>136.5</v>
      </c>
      <c r="I2813">
        <v>141.69999999999999</v>
      </c>
      <c r="J2813">
        <v>100</v>
      </c>
      <c r="K2813">
        <v>100</v>
      </c>
      <c r="L2813" s="1" t="s">
        <v>6640</v>
      </c>
      <c r="M2813" t="s">
        <v>22</v>
      </c>
      <c r="N2813">
        <v>1</v>
      </c>
    </row>
    <row r="2814" spans="1:14" x14ac:dyDescent="0.25">
      <c r="A2814" s="3" t="str">
        <f>HYPERLINK("http://www.ncbi.nlm.nih.gov/gene/2516","2516")</f>
        <v>2516</v>
      </c>
      <c r="B2814" s="1" t="s">
        <v>6642</v>
      </c>
      <c r="C2814" t="s">
        <v>6643</v>
      </c>
      <c r="D2814">
        <v>86.3</v>
      </c>
      <c r="E2814">
        <v>84.4</v>
      </c>
      <c r="F2814">
        <v>100</v>
      </c>
      <c r="G2814">
        <v>100</v>
      </c>
      <c r="H2814">
        <v>147.4</v>
      </c>
      <c r="I2814">
        <v>146.69999999999999</v>
      </c>
      <c r="J2814">
        <v>100</v>
      </c>
      <c r="K2814">
        <v>100</v>
      </c>
      <c r="L2814" s="1" t="s">
        <v>6642</v>
      </c>
      <c r="M2814" t="s">
        <v>6644</v>
      </c>
      <c r="N2814">
        <v>2</v>
      </c>
    </row>
    <row r="2815" spans="1:14" x14ac:dyDescent="0.25">
      <c r="A2815" s="3" t="str">
        <f>HYPERLINK("http://www.ncbi.nlm.nih.gov/gene/4893","4893")</f>
        <v>4893</v>
      </c>
      <c r="B2815" s="1" t="s">
        <v>6645</v>
      </c>
      <c r="C2815" t="s">
        <v>6646</v>
      </c>
      <c r="D2815">
        <v>177.7</v>
      </c>
      <c r="E2815">
        <v>185.6</v>
      </c>
      <c r="F2815">
        <v>100</v>
      </c>
      <c r="G2815">
        <v>100</v>
      </c>
      <c r="H2815">
        <v>157.69999999999999</v>
      </c>
      <c r="I2815">
        <v>163.30000000000001</v>
      </c>
      <c r="J2815">
        <v>100</v>
      </c>
      <c r="K2815">
        <v>100</v>
      </c>
      <c r="L2815" s="1" t="s">
        <v>6645</v>
      </c>
      <c r="M2815" t="s">
        <v>6647</v>
      </c>
      <c r="N2815">
        <v>10</v>
      </c>
    </row>
    <row r="2816" spans="1:14" x14ac:dyDescent="0.25">
      <c r="A2816" s="3" t="str">
        <f>HYPERLINK("http://www.ncbi.nlm.nih.gov/gene/8204","8204")</f>
        <v>8204</v>
      </c>
      <c r="B2816" s="1" t="s">
        <v>6648</v>
      </c>
      <c r="C2816" t="s">
        <v>6649</v>
      </c>
      <c r="D2816">
        <v>224.2</v>
      </c>
      <c r="E2816">
        <v>222</v>
      </c>
      <c r="F2816">
        <v>100</v>
      </c>
      <c r="G2816">
        <v>100</v>
      </c>
      <c r="H2816">
        <v>158.5</v>
      </c>
      <c r="I2816">
        <v>158.4</v>
      </c>
      <c r="J2816">
        <v>100</v>
      </c>
      <c r="K2816">
        <v>100</v>
      </c>
      <c r="L2816" s="1" t="s">
        <v>6648</v>
      </c>
      <c r="M2816" t="s">
        <v>285</v>
      </c>
      <c r="N2816">
        <v>1</v>
      </c>
    </row>
    <row r="2817" spans="1:14" x14ac:dyDescent="0.25">
      <c r="A2817" s="3" t="str">
        <f>HYPERLINK("http://www.ncbi.nlm.nih.gov/gene/4901","4901")</f>
        <v>4901</v>
      </c>
      <c r="B2817" s="1" t="s">
        <v>6650</v>
      </c>
      <c r="C2817" t="s">
        <v>6651</v>
      </c>
      <c r="D2817">
        <v>95.5</v>
      </c>
      <c r="E2817">
        <v>93</v>
      </c>
      <c r="F2817">
        <v>99.5</v>
      </c>
      <c r="G2817">
        <v>94.8</v>
      </c>
      <c r="H2817">
        <v>130.30000000000001</v>
      </c>
      <c r="I2817">
        <v>130.9</v>
      </c>
      <c r="J2817">
        <v>100</v>
      </c>
      <c r="K2817">
        <v>100</v>
      </c>
      <c r="L2817" s="1" t="s">
        <v>6650</v>
      </c>
      <c r="M2817" t="s">
        <v>302</v>
      </c>
      <c r="N2817">
        <v>2</v>
      </c>
    </row>
    <row r="2818" spans="1:14" x14ac:dyDescent="0.25">
      <c r="A2818" s="3" t="str">
        <f>HYPERLINK("http://www.ncbi.nlm.nih.gov/gene/375387","375387")</f>
        <v>375387</v>
      </c>
      <c r="B2818" s="1" t="s">
        <v>6652</v>
      </c>
      <c r="C2818" t="s">
        <v>6653</v>
      </c>
      <c r="D2818">
        <v>256.10000000000002</v>
      </c>
      <c r="E2818">
        <v>265.5</v>
      </c>
      <c r="F2818">
        <v>100</v>
      </c>
      <c r="G2818">
        <v>100</v>
      </c>
      <c r="H2818">
        <v>163</v>
      </c>
      <c r="I2818">
        <v>163.5</v>
      </c>
      <c r="J2818">
        <v>100</v>
      </c>
      <c r="K2818">
        <v>100</v>
      </c>
      <c r="L2818" s="1" t="s">
        <v>6652</v>
      </c>
      <c r="M2818" t="s">
        <v>228</v>
      </c>
      <c r="N2818">
        <v>3</v>
      </c>
    </row>
    <row r="2819" spans="1:14" x14ac:dyDescent="0.25">
      <c r="A2819" s="3" t="str">
        <f>HYPERLINK("http://www.ncbi.nlm.nih.gov/gene/9378","9378")</f>
        <v>9378</v>
      </c>
      <c r="B2819" s="1" t="s">
        <v>6654</v>
      </c>
      <c r="C2819" t="s">
        <v>6655</v>
      </c>
      <c r="D2819">
        <v>159.80000000000001</v>
      </c>
      <c r="E2819">
        <v>161.30000000000001</v>
      </c>
      <c r="F2819">
        <v>97.4</v>
      </c>
      <c r="G2819">
        <v>96.9</v>
      </c>
      <c r="H2819">
        <v>154.9</v>
      </c>
      <c r="I2819">
        <v>157.4</v>
      </c>
      <c r="J2819">
        <v>100</v>
      </c>
      <c r="K2819">
        <v>99.8</v>
      </c>
      <c r="L2819" s="1" t="s">
        <v>6654</v>
      </c>
      <c r="M2819" t="s">
        <v>1220</v>
      </c>
      <c r="N2819">
        <v>4</v>
      </c>
    </row>
    <row r="2820" spans="1:14" x14ac:dyDescent="0.25">
      <c r="A2820" s="3" t="str">
        <f>HYPERLINK("http://www.ncbi.nlm.nih.gov/gene/64324","64324")</f>
        <v>64324</v>
      </c>
      <c r="B2820" s="1" t="s">
        <v>6656</v>
      </c>
      <c r="C2820" t="s">
        <v>6657</v>
      </c>
      <c r="D2820">
        <v>180.5</v>
      </c>
      <c r="E2820">
        <v>175.5</v>
      </c>
      <c r="F2820">
        <v>100</v>
      </c>
      <c r="G2820">
        <v>99.9</v>
      </c>
      <c r="H2820">
        <v>134.1</v>
      </c>
      <c r="I2820">
        <v>135.1</v>
      </c>
      <c r="J2820">
        <v>100</v>
      </c>
      <c r="K2820">
        <v>100</v>
      </c>
      <c r="L2820" s="1" t="s">
        <v>6656</v>
      </c>
      <c r="M2820" t="s">
        <v>6658</v>
      </c>
      <c r="N2820">
        <v>7</v>
      </c>
    </row>
    <row r="2821" spans="1:14" x14ac:dyDescent="0.25">
      <c r="A2821" s="3" t="str">
        <f>HYPERLINK("http://www.ncbi.nlm.nih.gov/gene/7468","7468")</f>
        <v>7468</v>
      </c>
      <c r="B2821" s="1" t="s">
        <v>6659</v>
      </c>
      <c r="C2821" t="s">
        <v>6660</v>
      </c>
      <c r="D2821">
        <v>145.4</v>
      </c>
      <c r="E2821">
        <v>148.69999999999999</v>
      </c>
      <c r="F2821">
        <v>99.9</v>
      </c>
      <c r="G2821">
        <v>99.2</v>
      </c>
      <c r="H2821">
        <v>138</v>
      </c>
      <c r="I2821">
        <v>142.1</v>
      </c>
      <c r="J2821">
        <v>100</v>
      </c>
      <c r="K2821">
        <v>100</v>
      </c>
      <c r="L2821" s="1" t="s">
        <v>6659</v>
      </c>
      <c r="M2821" t="s">
        <v>189</v>
      </c>
      <c r="N2821">
        <v>2</v>
      </c>
    </row>
    <row r="2822" spans="1:14" x14ac:dyDescent="0.25">
      <c r="A2822" s="3" t="str">
        <f>HYPERLINK("http://www.ncbi.nlm.nih.gov/gene/50814","50814")</f>
        <v>50814</v>
      </c>
      <c r="B2822" s="1" t="s">
        <v>6661</v>
      </c>
      <c r="C2822" t="s">
        <v>6662</v>
      </c>
      <c r="D2822">
        <v>142.30000000000001</v>
      </c>
      <c r="E2822">
        <v>148.1</v>
      </c>
      <c r="F2822">
        <v>100</v>
      </c>
      <c r="G2822">
        <v>98.7</v>
      </c>
      <c r="H2822">
        <v>147.69999999999999</v>
      </c>
      <c r="I2822">
        <v>151.80000000000001</v>
      </c>
      <c r="J2822">
        <v>100</v>
      </c>
      <c r="K2822">
        <v>100</v>
      </c>
      <c r="L2822" s="1" t="s">
        <v>6661</v>
      </c>
      <c r="M2822" t="s">
        <v>6663</v>
      </c>
      <c r="N2822">
        <v>5</v>
      </c>
    </row>
    <row r="2823" spans="1:14" x14ac:dyDescent="0.25">
      <c r="A2823" s="3" t="str">
        <f>HYPERLINK("http://www.ncbi.nlm.nih.gov/gene/286053","286053")</f>
        <v>286053</v>
      </c>
      <c r="B2823" s="1" t="s">
        <v>6664</v>
      </c>
      <c r="C2823" t="s">
        <v>6665</v>
      </c>
      <c r="D2823">
        <v>91.6</v>
      </c>
      <c r="E2823">
        <v>93.9</v>
      </c>
      <c r="F2823">
        <v>99.7</v>
      </c>
      <c r="G2823">
        <v>98.2</v>
      </c>
      <c r="H2823">
        <v>132.5</v>
      </c>
      <c r="I2823">
        <v>136.30000000000001</v>
      </c>
      <c r="J2823">
        <v>100</v>
      </c>
      <c r="K2823">
        <v>100</v>
      </c>
      <c r="L2823" s="1" t="s">
        <v>6664</v>
      </c>
      <c r="M2823" t="s">
        <v>1168</v>
      </c>
      <c r="N2823">
        <v>3</v>
      </c>
    </row>
    <row r="2824" spans="1:14" x14ac:dyDescent="0.25">
      <c r="A2824" s="3" t="str">
        <f>HYPERLINK("http://www.ncbi.nlm.nih.gov/gene/56160","56160")</f>
        <v>56160</v>
      </c>
      <c r="B2824" s="1" t="s">
        <v>6666</v>
      </c>
      <c r="C2824" t="s">
        <v>6667</v>
      </c>
      <c r="D2824">
        <v>209.3</v>
      </c>
      <c r="E2824">
        <v>213</v>
      </c>
      <c r="F2824">
        <v>100</v>
      </c>
      <c r="G2824">
        <v>100</v>
      </c>
      <c r="H2824">
        <v>205.5</v>
      </c>
      <c r="I2824">
        <v>206.9</v>
      </c>
      <c r="J2824">
        <v>100</v>
      </c>
      <c r="K2824">
        <v>100</v>
      </c>
      <c r="L2824" s="1" t="s">
        <v>6666</v>
      </c>
      <c r="M2824" t="s">
        <v>1097</v>
      </c>
      <c r="N2824">
        <v>3</v>
      </c>
    </row>
    <row r="2825" spans="1:14" x14ac:dyDescent="0.25">
      <c r="A2825" s="3" t="str">
        <f>HYPERLINK("http://www.ncbi.nlm.nih.gov/gene/26012","26012")</f>
        <v>26012</v>
      </c>
      <c r="B2825" s="1" t="s">
        <v>6668</v>
      </c>
      <c r="C2825" t="s">
        <v>6669</v>
      </c>
      <c r="D2825">
        <v>103</v>
      </c>
      <c r="E2825">
        <v>105</v>
      </c>
      <c r="F2825">
        <v>96.1</v>
      </c>
      <c r="G2825">
        <v>95.6</v>
      </c>
      <c r="H2825">
        <v>124.9</v>
      </c>
      <c r="I2825">
        <v>126.1</v>
      </c>
      <c r="J2825">
        <v>100</v>
      </c>
      <c r="K2825">
        <v>100</v>
      </c>
      <c r="L2825" s="1" t="s">
        <v>6668</v>
      </c>
      <c r="M2825" t="s">
        <v>1011</v>
      </c>
      <c r="N2825">
        <v>3</v>
      </c>
    </row>
    <row r="2826" spans="1:14" x14ac:dyDescent="0.25">
      <c r="A2826" s="3" t="str">
        <f>HYPERLINK("http://www.ncbi.nlm.nih.gov/gene/54888","54888")</f>
        <v>54888</v>
      </c>
      <c r="B2826" s="1" t="s">
        <v>6670</v>
      </c>
      <c r="C2826" t="s">
        <v>6671</v>
      </c>
      <c r="D2826">
        <v>112.7</v>
      </c>
      <c r="E2826">
        <v>118.3</v>
      </c>
      <c r="F2826">
        <v>96</v>
      </c>
      <c r="G2826">
        <v>95.1</v>
      </c>
      <c r="H2826">
        <v>135.80000000000001</v>
      </c>
      <c r="I2826">
        <v>139.5</v>
      </c>
      <c r="J2826">
        <v>100</v>
      </c>
      <c r="K2826">
        <v>100</v>
      </c>
      <c r="L2826" s="1" t="s">
        <v>6670</v>
      </c>
      <c r="M2826" t="s">
        <v>228</v>
      </c>
      <c r="N2826">
        <v>3</v>
      </c>
    </row>
    <row r="2827" spans="1:14" x14ac:dyDescent="0.25">
      <c r="A2827" s="3" t="str">
        <f>HYPERLINK("http://www.ncbi.nlm.nih.gov/gene/63899","63899")</f>
        <v>63899</v>
      </c>
      <c r="B2827" s="1" t="s">
        <v>6672</v>
      </c>
      <c r="C2827" t="s">
        <v>6673</v>
      </c>
      <c r="D2827">
        <v>208.8</v>
      </c>
      <c r="E2827">
        <v>215.1</v>
      </c>
      <c r="F2827">
        <v>100</v>
      </c>
      <c r="G2827">
        <v>100</v>
      </c>
      <c r="H2827">
        <v>134.30000000000001</v>
      </c>
      <c r="I2827">
        <v>137.1</v>
      </c>
      <c r="J2827">
        <v>100</v>
      </c>
      <c r="K2827">
        <v>100</v>
      </c>
      <c r="L2827" s="1" t="s">
        <v>6672</v>
      </c>
      <c r="M2827" t="s">
        <v>265</v>
      </c>
      <c r="N2827">
        <v>2</v>
      </c>
    </row>
    <row r="2828" spans="1:14" x14ac:dyDescent="0.25">
      <c r="A2828" s="3" t="str">
        <f>HYPERLINK("http://www.ncbi.nlm.nih.gov/gene/22978","22978")</f>
        <v>22978</v>
      </c>
      <c r="B2828" s="1" t="s">
        <v>6674</v>
      </c>
      <c r="C2828" t="s">
        <v>6675</v>
      </c>
      <c r="D2828">
        <v>144.30000000000001</v>
      </c>
      <c r="E2828">
        <v>148</v>
      </c>
      <c r="F2828">
        <v>98</v>
      </c>
      <c r="G2828">
        <v>96.5</v>
      </c>
      <c r="H2828">
        <v>125.2</v>
      </c>
      <c r="I2828">
        <v>128.19999999999999</v>
      </c>
      <c r="J2828">
        <v>100</v>
      </c>
      <c r="K2828">
        <v>100</v>
      </c>
      <c r="L2828" s="1" t="s">
        <v>6674</v>
      </c>
      <c r="M2828" t="s">
        <v>288</v>
      </c>
      <c r="N2828">
        <v>4</v>
      </c>
    </row>
    <row r="2829" spans="1:14" x14ac:dyDescent="0.25">
      <c r="A2829" s="3" t="str">
        <f>HYPERLINK("http://www.ncbi.nlm.nih.gov/gene/51251","51251")</f>
        <v>51251</v>
      </c>
      <c r="B2829" s="1" t="s">
        <v>6676</v>
      </c>
      <c r="C2829" t="s">
        <v>6677</v>
      </c>
      <c r="D2829">
        <v>77.2</v>
      </c>
      <c r="E2829">
        <v>80.900000000000006</v>
      </c>
      <c r="F2829">
        <v>97.8</v>
      </c>
      <c r="G2829">
        <v>88.2</v>
      </c>
      <c r="H2829">
        <v>129.6</v>
      </c>
      <c r="I2829">
        <v>133.80000000000001</v>
      </c>
      <c r="J2829">
        <v>100</v>
      </c>
      <c r="K2829">
        <v>100</v>
      </c>
      <c r="L2829" s="1" t="s">
        <v>6676</v>
      </c>
      <c r="M2829" t="s">
        <v>116</v>
      </c>
      <c r="N2829">
        <v>3</v>
      </c>
    </row>
    <row r="2830" spans="1:14" x14ac:dyDescent="0.25">
      <c r="A2830" s="3" t="str">
        <f>HYPERLINK("http://www.ncbi.nlm.nih.gov/gene/4907","4907")</f>
        <v>4907</v>
      </c>
      <c r="B2830" s="1" t="s">
        <v>6678</v>
      </c>
      <c r="C2830" t="s">
        <v>6679</v>
      </c>
      <c r="D2830">
        <v>155.69999999999999</v>
      </c>
      <c r="E2830">
        <v>165.5</v>
      </c>
      <c r="F2830">
        <v>100</v>
      </c>
      <c r="G2830">
        <v>99.9</v>
      </c>
      <c r="H2830">
        <v>135.80000000000001</v>
      </c>
      <c r="I2830">
        <v>140.9</v>
      </c>
      <c r="J2830">
        <v>100</v>
      </c>
      <c r="K2830">
        <v>100</v>
      </c>
      <c r="L2830" s="1" t="s">
        <v>6678</v>
      </c>
      <c r="M2830" t="s">
        <v>116</v>
      </c>
      <c r="N2830">
        <v>3</v>
      </c>
    </row>
    <row r="2831" spans="1:14" x14ac:dyDescent="0.25">
      <c r="A2831" s="3" t="str">
        <f>HYPERLINK("http://www.ncbi.nlm.nih.gov/gene/4909","4909")</f>
        <v>4909</v>
      </c>
      <c r="B2831" s="1" t="s">
        <v>6680</v>
      </c>
      <c r="C2831" t="s">
        <v>6681</v>
      </c>
      <c r="D2831">
        <v>147.19999999999999</v>
      </c>
      <c r="E2831">
        <v>142.30000000000001</v>
      </c>
      <c r="F2831">
        <v>99.6</v>
      </c>
      <c r="G2831">
        <v>93</v>
      </c>
      <c r="H2831">
        <v>161.9</v>
      </c>
      <c r="I2831">
        <v>164.8</v>
      </c>
      <c r="J2831">
        <v>100</v>
      </c>
      <c r="K2831">
        <v>100</v>
      </c>
      <c r="L2831" s="1" t="s">
        <v>6680</v>
      </c>
      <c r="M2831" t="s">
        <v>22</v>
      </c>
      <c r="N2831">
        <v>1</v>
      </c>
    </row>
    <row r="2832" spans="1:14" x14ac:dyDescent="0.25">
      <c r="A2832" s="3" t="str">
        <f>HYPERLINK("http://www.ncbi.nlm.nih.gov/gene/4913","4913")</f>
        <v>4913</v>
      </c>
      <c r="B2832" s="1" t="s">
        <v>6682</v>
      </c>
      <c r="C2832" t="s">
        <v>6683</v>
      </c>
      <c r="D2832">
        <v>106.8</v>
      </c>
      <c r="E2832">
        <v>111</v>
      </c>
      <c r="F2832">
        <v>100</v>
      </c>
      <c r="G2832">
        <v>99.8</v>
      </c>
      <c r="H2832">
        <v>163</v>
      </c>
      <c r="I2832">
        <v>167.7</v>
      </c>
      <c r="J2832">
        <v>100</v>
      </c>
      <c r="K2832">
        <v>100</v>
      </c>
      <c r="L2832" s="1" t="s">
        <v>6682</v>
      </c>
      <c r="M2832" t="s">
        <v>6020</v>
      </c>
      <c r="N2832">
        <v>3</v>
      </c>
    </row>
    <row r="2833" spans="1:14" x14ac:dyDescent="0.25">
      <c r="A2833" s="3" t="str">
        <f>HYPERLINK("http://www.ncbi.nlm.nih.gov/gene/50863","50863")</f>
        <v>50863</v>
      </c>
      <c r="B2833" s="1" t="s">
        <v>6684</v>
      </c>
      <c r="C2833" t="s">
        <v>6685</v>
      </c>
      <c r="D2833">
        <v>186.7</v>
      </c>
      <c r="E2833">
        <v>191.2</v>
      </c>
      <c r="F2833">
        <v>100</v>
      </c>
      <c r="G2833">
        <v>100</v>
      </c>
      <c r="H2833">
        <v>148.4</v>
      </c>
      <c r="I2833">
        <v>153</v>
      </c>
      <c r="J2833">
        <v>100</v>
      </c>
      <c r="K2833">
        <v>100</v>
      </c>
      <c r="L2833" s="1" t="s">
        <v>6684</v>
      </c>
      <c r="M2833" t="s">
        <v>661</v>
      </c>
      <c r="N2833">
        <v>2</v>
      </c>
    </row>
    <row r="2834" spans="1:14" x14ac:dyDescent="0.25">
      <c r="A2834" s="3" t="str">
        <f>HYPERLINK("http://www.ncbi.nlm.nih.gov/gene/9423","9423")</f>
        <v>9423</v>
      </c>
      <c r="B2834" s="1" t="s">
        <v>6686</v>
      </c>
      <c r="C2834" t="s">
        <v>6687</v>
      </c>
      <c r="D2834">
        <v>156.19999999999999</v>
      </c>
      <c r="E2834">
        <v>157.69999999999999</v>
      </c>
      <c r="F2834">
        <v>100</v>
      </c>
      <c r="G2834">
        <v>99.7</v>
      </c>
      <c r="H2834">
        <v>149.19999999999999</v>
      </c>
      <c r="I2834">
        <v>150.80000000000001</v>
      </c>
      <c r="J2834">
        <v>100</v>
      </c>
      <c r="K2834">
        <v>100</v>
      </c>
      <c r="L2834" s="1" t="s">
        <v>6686</v>
      </c>
      <c r="M2834" t="s">
        <v>285</v>
      </c>
      <c r="N2834">
        <v>1</v>
      </c>
    </row>
    <row r="2835" spans="1:14" x14ac:dyDescent="0.25">
      <c r="A2835" s="3" t="str">
        <f>HYPERLINK("http://www.ncbi.nlm.nih.gov/gene/84628","84628")</f>
        <v>84628</v>
      </c>
      <c r="B2835" s="1" t="s">
        <v>6688</v>
      </c>
      <c r="C2835" t="s">
        <v>6689</v>
      </c>
      <c r="D2835">
        <v>150.80000000000001</v>
      </c>
      <c r="E2835">
        <v>154.19999999999999</v>
      </c>
      <c r="F2835">
        <v>98.5</v>
      </c>
      <c r="G2835">
        <v>96.7</v>
      </c>
      <c r="H2835">
        <v>133.1</v>
      </c>
      <c r="I2835">
        <v>136</v>
      </c>
      <c r="J2835">
        <v>99.9</v>
      </c>
      <c r="K2835">
        <v>99</v>
      </c>
      <c r="L2835" s="1" t="s">
        <v>6688</v>
      </c>
      <c r="M2835" t="s">
        <v>228</v>
      </c>
      <c r="N2835">
        <v>3</v>
      </c>
    </row>
    <row r="2836" spans="1:14" x14ac:dyDescent="0.25">
      <c r="A2836" s="3" t="str">
        <f>HYPERLINK("http://www.ncbi.nlm.nih.gov/gene/4914","4914")</f>
        <v>4914</v>
      </c>
      <c r="B2836" s="1" t="s">
        <v>6690</v>
      </c>
      <c r="C2836" t="s">
        <v>6691</v>
      </c>
      <c r="D2836">
        <v>132.5</v>
      </c>
      <c r="E2836">
        <v>138.9</v>
      </c>
      <c r="F2836">
        <v>99.8</v>
      </c>
      <c r="G2836">
        <v>98.2</v>
      </c>
      <c r="H2836">
        <v>146.6</v>
      </c>
      <c r="I2836">
        <v>151.9</v>
      </c>
      <c r="J2836">
        <v>100</v>
      </c>
      <c r="K2836">
        <v>100</v>
      </c>
      <c r="L2836" s="1" t="s">
        <v>6690</v>
      </c>
      <c r="M2836" t="s">
        <v>6692</v>
      </c>
      <c r="N2836">
        <v>5</v>
      </c>
    </row>
    <row r="2837" spans="1:14" x14ac:dyDescent="0.25">
      <c r="A2837" s="3" t="str">
        <f>HYPERLINK("http://www.ncbi.nlm.nih.gov/gene/4915","4915")</f>
        <v>4915</v>
      </c>
      <c r="B2837" s="1" t="s">
        <v>6693</v>
      </c>
      <c r="C2837" t="s">
        <v>6694</v>
      </c>
      <c r="D2837">
        <v>158.80000000000001</v>
      </c>
      <c r="E2837">
        <v>166.6</v>
      </c>
      <c r="F2837">
        <v>100</v>
      </c>
      <c r="G2837">
        <v>99.9</v>
      </c>
      <c r="H2837">
        <v>140</v>
      </c>
      <c r="I2837">
        <v>143.9</v>
      </c>
      <c r="J2837">
        <v>100</v>
      </c>
      <c r="K2837">
        <v>100</v>
      </c>
      <c r="L2837" s="1" t="s">
        <v>6693</v>
      </c>
      <c r="M2837" t="s">
        <v>189</v>
      </c>
      <c r="N2837">
        <v>2</v>
      </c>
    </row>
    <row r="2838" spans="1:14" x14ac:dyDescent="0.25">
      <c r="A2838" s="3" t="str">
        <f>HYPERLINK("http://www.ncbi.nlm.nih.gov/gene/80224","80224")</f>
        <v>80224</v>
      </c>
      <c r="B2838" s="1" t="s">
        <v>6695</v>
      </c>
      <c r="C2838" t="s">
        <v>6696</v>
      </c>
      <c r="D2838">
        <v>110.1</v>
      </c>
      <c r="E2838">
        <v>111.9</v>
      </c>
      <c r="F2838">
        <v>99.7</v>
      </c>
      <c r="G2838">
        <v>98.4</v>
      </c>
      <c r="H2838">
        <v>124.5</v>
      </c>
      <c r="I2838">
        <v>126.8</v>
      </c>
      <c r="J2838">
        <v>100</v>
      </c>
      <c r="K2838">
        <v>100</v>
      </c>
      <c r="L2838" s="1" t="s">
        <v>6695</v>
      </c>
      <c r="M2838" t="s">
        <v>1206</v>
      </c>
      <c r="N2838">
        <v>5</v>
      </c>
    </row>
    <row r="2839" spans="1:14" x14ac:dyDescent="0.25">
      <c r="A2839" s="3" t="str">
        <f>HYPERLINK("http://www.ncbi.nlm.nih.gov/gene/4926","4926")</f>
        <v>4926</v>
      </c>
      <c r="B2839" s="1" t="s">
        <v>6697</v>
      </c>
      <c r="C2839" t="s">
        <v>6698</v>
      </c>
      <c r="D2839">
        <v>126</v>
      </c>
      <c r="E2839">
        <v>125.9</v>
      </c>
      <c r="F2839">
        <v>100</v>
      </c>
      <c r="G2839">
        <v>99.8</v>
      </c>
      <c r="H2839">
        <v>145.4</v>
      </c>
      <c r="I2839">
        <v>147.5</v>
      </c>
      <c r="J2839">
        <v>100</v>
      </c>
      <c r="K2839">
        <v>100</v>
      </c>
      <c r="L2839" s="1" t="s">
        <v>6697</v>
      </c>
      <c r="M2839" t="s">
        <v>22</v>
      </c>
      <c r="N2839">
        <v>1</v>
      </c>
    </row>
    <row r="2840" spans="1:14" x14ac:dyDescent="0.25">
      <c r="A2840" s="3" t="str">
        <f>HYPERLINK("http://www.ncbi.nlm.nih.gov/gene/57122","57122")</f>
        <v>57122</v>
      </c>
      <c r="B2840" s="1" t="s">
        <v>6699</v>
      </c>
      <c r="C2840" t="s">
        <v>6700</v>
      </c>
      <c r="D2840">
        <v>150.69999999999999</v>
      </c>
      <c r="E2840">
        <v>156.30000000000001</v>
      </c>
      <c r="F2840">
        <v>99.8</v>
      </c>
      <c r="G2840">
        <v>98.5</v>
      </c>
      <c r="H2840">
        <v>111.9</v>
      </c>
      <c r="I2840">
        <v>114.8</v>
      </c>
      <c r="J2840">
        <v>100</v>
      </c>
      <c r="K2840">
        <v>100</v>
      </c>
      <c r="L2840" s="1" t="s">
        <v>6699</v>
      </c>
      <c r="M2840" t="s">
        <v>357</v>
      </c>
      <c r="N2840">
        <v>3</v>
      </c>
    </row>
    <row r="2841" spans="1:14" x14ac:dyDescent="0.25">
      <c r="A2841" s="3" t="str">
        <f>HYPERLINK("http://www.ncbi.nlm.nih.gov/gene/55746","55746")</f>
        <v>55746</v>
      </c>
      <c r="B2841" s="1" t="s">
        <v>6701</v>
      </c>
      <c r="C2841" t="s">
        <v>6702</v>
      </c>
      <c r="D2841">
        <v>139.30000000000001</v>
      </c>
      <c r="E2841">
        <v>145</v>
      </c>
      <c r="F2841">
        <v>99.7</v>
      </c>
      <c r="G2841">
        <v>98.3</v>
      </c>
      <c r="H2841">
        <v>133.5</v>
      </c>
      <c r="I2841">
        <v>137.4</v>
      </c>
      <c r="J2841">
        <v>100</v>
      </c>
      <c r="K2841">
        <v>100</v>
      </c>
      <c r="L2841" s="1" t="s">
        <v>6701</v>
      </c>
      <c r="M2841" t="s">
        <v>357</v>
      </c>
      <c r="N2841">
        <v>3</v>
      </c>
    </row>
    <row r="2842" spans="1:14" x14ac:dyDescent="0.25">
      <c r="A2842" s="3" t="str">
        <f>HYPERLINK("http://www.ncbi.nlm.nih.gov/gene/9631","9631")</f>
        <v>9631</v>
      </c>
      <c r="B2842" s="1" t="s">
        <v>6703</v>
      </c>
      <c r="C2842" t="s">
        <v>6704</v>
      </c>
      <c r="D2842">
        <v>136.9</v>
      </c>
      <c r="E2842">
        <v>141</v>
      </c>
      <c r="F2842">
        <v>99.2</v>
      </c>
      <c r="G2842">
        <v>97.4</v>
      </c>
      <c r="H2842">
        <v>131.6</v>
      </c>
      <c r="I2842">
        <v>134.9</v>
      </c>
      <c r="J2842">
        <v>100</v>
      </c>
      <c r="K2842">
        <v>100</v>
      </c>
      <c r="L2842" s="1" t="s">
        <v>6703</v>
      </c>
      <c r="M2842" t="s">
        <v>243</v>
      </c>
      <c r="N2842">
        <v>2</v>
      </c>
    </row>
    <row r="2843" spans="1:14" x14ac:dyDescent="0.25">
      <c r="A2843" s="3" t="str">
        <f>HYPERLINK("http://www.ncbi.nlm.nih.gov/gene/23279","23279")</f>
        <v>23279</v>
      </c>
      <c r="B2843" s="1" t="s">
        <v>6705</v>
      </c>
      <c r="C2843" t="s">
        <v>6706</v>
      </c>
      <c r="D2843">
        <v>158.6</v>
      </c>
      <c r="E2843">
        <v>163</v>
      </c>
      <c r="F2843">
        <v>100</v>
      </c>
      <c r="G2843">
        <v>99.9</v>
      </c>
      <c r="H2843">
        <v>131.6</v>
      </c>
      <c r="I2843">
        <v>134.9</v>
      </c>
      <c r="J2843">
        <v>100</v>
      </c>
      <c r="K2843">
        <v>100</v>
      </c>
      <c r="L2843" s="1" t="s">
        <v>6705</v>
      </c>
      <c r="M2843" t="s">
        <v>357</v>
      </c>
      <c r="N2843">
        <v>3</v>
      </c>
    </row>
    <row r="2844" spans="1:14" x14ac:dyDescent="0.25">
      <c r="A2844" s="3" t="str">
        <f>HYPERLINK("http://www.ncbi.nlm.nih.gov/gene/23511","23511")</f>
        <v>23511</v>
      </c>
      <c r="B2844" s="1" t="s">
        <v>6707</v>
      </c>
      <c r="C2844" t="s">
        <v>6708</v>
      </c>
      <c r="D2844">
        <v>148.1</v>
      </c>
      <c r="E2844">
        <v>151.5</v>
      </c>
      <c r="F2844">
        <v>100</v>
      </c>
      <c r="G2844">
        <v>99.6</v>
      </c>
      <c r="H2844">
        <v>128.30000000000001</v>
      </c>
      <c r="I2844">
        <v>131.5</v>
      </c>
      <c r="J2844">
        <v>100</v>
      </c>
      <c r="K2844">
        <v>100</v>
      </c>
      <c r="L2844" s="1" t="s">
        <v>6707</v>
      </c>
      <c r="M2844" t="s">
        <v>53</v>
      </c>
      <c r="N2844">
        <v>2</v>
      </c>
    </row>
    <row r="2845" spans="1:14" x14ac:dyDescent="0.25">
      <c r="A2845" s="3" t="str">
        <f>HYPERLINK("http://www.ncbi.nlm.nih.gov/gene/23165","23165")</f>
        <v>23165</v>
      </c>
      <c r="B2845" s="1" t="s">
        <v>6709</v>
      </c>
      <c r="C2845" t="s">
        <v>6710</v>
      </c>
      <c r="D2845">
        <v>155.4</v>
      </c>
      <c r="E2845">
        <v>161.30000000000001</v>
      </c>
      <c r="F2845">
        <v>99.9</v>
      </c>
      <c r="G2845">
        <v>99.4</v>
      </c>
      <c r="H2845">
        <v>129.30000000000001</v>
      </c>
      <c r="I2845">
        <v>133.69999999999999</v>
      </c>
      <c r="J2845">
        <v>100</v>
      </c>
      <c r="K2845">
        <v>100</v>
      </c>
      <c r="L2845" s="1" t="s">
        <v>6709</v>
      </c>
      <c r="M2845" t="s">
        <v>1950</v>
      </c>
      <c r="N2845">
        <v>3</v>
      </c>
    </row>
    <row r="2846" spans="1:14" x14ac:dyDescent="0.25">
      <c r="A2846" s="3" t="str">
        <f>HYPERLINK("http://www.ncbi.nlm.nih.gov/gene/8021","8021")</f>
        <v>8021</v>
      </c>
      <c r="B2846" s="1" t="s">
        <v>6711</v>
      </c>
      <c r="C2846" t="s">
        <v>6712</v>
      </c>
      <c r="D2846">
        <v>184.1</v>
      </c>
      <c r="E2846">
        <v>179.6</v>
      </c>
      <c r="F2846">
        <v>100</v>
      </c>
      <c r="G2846">
        <v>99.7</v>
      </c>
      <c r="H2846">
        <v>141.80000000000001</v>
      </c>
      <c r="I2846">
        <v>144.6</v>
      </c>
      <c r="J2846">
        <v>100</v>
      </c>
      <c r="K2846">
        <v>100</v>
      </c>
      <c r="L2846" s="1" t="s">
        <v>6711</v>
      </c>
      <c r="M2846" t="s">
        <v>428</v>
      </c>
      <c r="N2846">
        <v>2</v>
      </c>
    </row>
    <row r="2847" spans="1:14" x14ac:dyDescent="0.25">
      <c r="A2847" s="3" t="str">
        <f>HYPERLINK("http://www.ncbi.nlm.nih.gov/gene/79023","79023")</f>
        <v>79023</v>
      </c>
      <c r="B2847" s="1" t="s">
        <v>6713</v>
      </c>
      <c r="C2847" t="s">
        <v>6714</v>
      </c>
      <c r="D2847">
        <v>194.2</v>
      </c>
      <c r="E2847">
        <v>201.4</v>
      </c>
      <c r="F2847">
        <v>100</v>
      </c>
      <c r="G2847">
        <v>100</v>
      </c>
      <c r="H2847">
        <v>130.80000000000001</v>
      </c>
      <c r="I2847">
        <v>134.6</v>
      </c>
      <c r="J2847">
        <v>100</v>
      </c>
      <c r="K2847">
        <v>100</v>
      </c>
      <c r="L2847" s="1" t="s">
        <v>6713</v>
      </c>
      <c r="M2847" t="s">
        <v>53</v>
      </c>
      <c r="N2847">
        <v>2</v>
      </c>
    </row>
    <row r="2848" spans="1:14" x14ac:dyDescent="0.25">
      <c r="A2848" s="3" t="str">
        <f>HYPERLINK("http://www.ncbi.nlm.nih.gov/gene/23636","23636")</f>
        <v>23636</v>
      </c>
      <c r="B2848" s="1" t="s">
        <v>6715</v>
      </c>
      <c r="C2848" t="s">
        <v>6716</v>
      </c>
      <c r="D2848">
        <v>129.69999999999999</v>
      </c>
      <c r="E2848">
        <v>116.6</v>
      </c>
      <c r="F2848">
        <v>100</v>
      </c>
      <c r="G2848">
        <v>100</v>
      </c>
      <c r="H2848">
        <v>146.9</v>
      </c>
      <c r="I2848">
        <v>143.30000000000001</v>
      </c>
      <c r="J2848">
        <v>100</v>
      </c>
      <c r="K2848">
        <v>100</v>
      </c>
      <c r="L2848" s="1" t="s">
        <v>6715</v>
      </c>
      <c r="M2848" t="s">
        <v>288</v>
      </c>
      <c r="N2848">
        <v>4</v>
      </c>
    </row>
    <row r="2849" spans="1:14" x14ac:dyDescent="0.25">
      <c r="A2849" s="3" t="str">
        <f>HYPERLINK("http://www.ncbi.nlm.nih.gov/gene/79902","79902")</f>
        <v>79902</v>
      </c>
      <c r="B2849" s="1" t="s">
        <v>6717</v>
      </c>
      <c r="C2849" t="s">
        <v>6718</v>
      </c>
      <c r="D2849">
        <v>137.9</v>
      </c>
      <c r="E2849">
        <v>141.1</v>
      </c>
      <c r="F2849">
        <v>100</v>
      </c>
      <c r="G2849">
        <v>100</v>
      </c>
      <c r="H2849">
        <v>125.7</v>
      </c>
      <c r="I2849">
        <v>128.80000000000001</v>
      </c>
      <c r="J2849">
        <v>100</v>
      </c>
      <c r="K2849">
        <v>100</v>
      </c>
      <c r="L2849" s="1" t="s">
        <v>6717</v>
      </c>
      <c r="M2849" t="s">
        <v>357</v>
      </c>
      <c r="N2849">
        <v>3</v>
      </c>
    </row>
    <row r="2850" spans="1:14" x14ac:dyDescent="0.25">
      <c r="A2850" s="3" t="str">
        <f>HYPERLINK("http://www.ncbi.nlm.nih.gov/gene/4927","4927")</f>
        <v>4927</v>
      </c>
      <c r="B2850" s="1" t="s">
        <v>6719</v>
      </c>
      <c r="C2850" t="s">
        <v>6720</v>
      </c>
      <c r="D2850">
        <v>156.9</v>
      </c>
      <c r="E2850">
        <v>162.19999999999999</v>
      </c>
      <c r="F2850">
        <v>100</v>
      </c>
      <c r="G2850">
        <v>100</v>
      </c>
      <c r="H2850">
        <v>131.19999999999999</v>
      </c>
      <c r="I2850">
        <v>135</v>
      </c>
      <c r="J2850">
        <v>100</v>
      </c>
      <c r="K2850">
        <v>100</v>
      </c>
      <c r="L2850" s="1" t="s">
        <v>6719</v>
      </c>
      <c r="M2850" t="s">
        <v>280</v>
      </c>
      <c r="N2850">
        <v>3</v>
      </c>
    </row>
    <row r="2851" spans="1:14" x14ac:dyDescent="0.25">
      <c r="A2851" s="3" t="str">
        <f>HYPERLINK("http://www.ncbi.nlm.nih.gov/gene/9688","9688")</f>
        <v>9688</v>
      </c>
      <c r="B2851" s="1" t="s">
        <v>6721</v>
      </c>
      <c r="C2851" t="s">
        <v>6722</v>
      </c>
      <c r="D2851">
        <v>132.1</v>
      </c>
      <c r="E2851">
        <v>137</v>
      </c>
      <c r="F2851">
        <v>98</v>
      </c>
      <c r="G2851">
        <v>94.2</v>
      </c>
      <c r="H2851">
        <v>110.8</v>
      </c>
      <c r="I2851">
        <v>113.9</v>
      </c>
      <c r="J2851">
        <v>95.5</v>
      </c>
      <c r="K2851">
        <v>95.5</v>
      </c>
      <c r="L2851" s="1" t="s">
        <v>6721</v>
      </c>
      <c r="M2851" t="s">
        <v>357</v>
      </c>
      <c r="N2851">
        <v>3</v>
      </c>
    </row>
    <row r="2852" spans="1:14" x14ac:dyDescent="0.25">
      <c r="A2852" s="3" t="str">
        <f>HYPERLINK("http://www.ncbi.nlm.nih.gov/gene/116150","116150")</f>
        <v>116150</v>
      </c>
      <c r="B2852" s="1" t="s">
        <v>6723</v>
      </c>
      <c r="C2852" t="s">
        <v>6724</v>
      </c>
      <c r="D2852">
        <v>62.6</v>
      </c>
      <c r="E2852">
        <v>62.4</v>
      </c>
      <c r="F2852">
        <v>60</v>
      </c>
      <c r="G2852">
        <v>44.5</v>
      </c>
      <c r="H2852">
        <v>126.9</v>
      </c>
      <c r="I2852">
        <v>130</v>
      </c>
      <c r="J2852">
        <v>100</v>
      </c>
      <c r="K2852">
        <v>100</v>
      </c>
      <c r="L2852" s="1" t="s">
        <v>6723</v>
      </c>
      <c r="M2852" t="s">
        <v>6725</v>
      </c>
      <c r="N2852">
        <v>5</v>
      </c>
    </row>
    <row r="2853" spans="1:14" x14ac:dyDescent="0.25">
      <c r="A2853" s="3" t="str">
        <f>HYPERLINK("http://www.ncbi.nlm.nih.gov/gene/101060691","101060691")</f>
        <v>101060691</v>
      </c>
      <c r="B2853" s="1" t="s">
        <v>6726</v>
      </c>
      <c r="C2853" t="s">
        <v>6727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 s="1" t="s">
        <v>6726</v>
      </c>
      <c r="M2853" t="s">
        <v>285</v>
      </c>
      <c r="N2853">
        <v>1</v>
      </c>
    </row>
    <row r="2854" spans="1:14" x14ac:dyDescent="0.25">
      <c r="A2854" s="3" t="str">
        <f>HYPERLINK("http://www.ncbi.nlm.nih.gov/gene/64359","64359")</f>
        <v>64359</v>
      </c>
      <c r="B2854" s="1" t="s">
        <v>6728</v>
      </c>
      <c r="C2854" t="s">
        <v>6729</v>
      </c>
      <c r="D2854">
        <v>121.7</v>
      </c>
      <c r="E2854">
        <v>123.8</v>
      </c>
      <c r="F2854">
        <v>100</v>
      </c>
      <c r="G2854">
        <v>100</v>
      </c>
      <c r="H2854">
        <v>124.1</v>
      </c>
      <c r="I2854">
        <v>126.6</v>
      </c>
      <c r="J2854">
        <v>99.9</v>
      </c>
      <c r="K2854">
        <v>99.5</v>
      </c>
      <c r="L2854" s="1" t="s">
        <v>6728</v>
      </c>
      <c r="M2854" t="s">
        <v>1168</v>
      </c>
      <c r="N2854">
        <v>3</v>
      </c>
    </row>
    <row r="2855" spans="1:14" x14ac:dyDescent="0.25">
      <c r="A2855" s="3" t="str">
        <f>HYPERLINK("http://www.ncbi.nlm.nih.gov/gene/60506","60506")</f>
        <v>60506</v>
      </c>
      <c r="B2855" s="1" t="s">
        <v>6730</v>
      </c>
      <c r="C2855" t="s">
        <v>6731</v>
      </c>
      <c r="D2855">
        <v>110.4</v>
      </c>
      <c r="E2855">
        <v>95.7</v>
      </c>
      <c r="F2855">
        <v>96.3</v>
      </c>
      <c r="G2855">
        <v>94.1</v>
      </c>
      <c r="H2855">
        <v>126.7</v>
      </c>
      <c r="I2855">
        <v>128.1</v>
      </c>
      <c r="J2855">
        <v>99.7</v>
      </c>
      <c r="K2855">
        <v>98.8</v>
      </c>
      <c r="L2855" s="1" t="s">
        <v>6730</v>
      </c>
      <c r="M2855" t="s">
        <v>6732</v>
      </c>
      <c r="N2855">
        <v>2</v>
      </c>
    </row>
    <row r="2856" spans="1:14" x14ac:dyDescent="0.25">
      <c r="A2856" s="3" t="str">
        <f>HYPERLINK("http://www.ncbi.nlm.nih.gov/gene/4938","4938")</f>
        <v>4938</v>
      </c>
      <c r="B2856" s="1" t="s">
        <v>6733</v>
      </c>
      <c r="C2856" t="s">
        <v>6734</v>
      </c>
      <c r="D2856">
        <v>133.69999999999999</v>
      </c>
      <c r="E2856">
        <v>139.80000000000001</v>
      </c>
      <c r="F2856">
        <v>100</v>
      </c>
      <c r="G2856">
        <v>100</v>
      </c>
      <c r="H2856">
        <v>135.1</v>
      </c>
      <c r="I2856">
        <v>139.5</v>
      </c>
      <c r="J2856">
        <v>100</v>
      </c>
      <c r="K2856">
        <v>100</v>
      </c>
      <c r="L2856" s="1" t="s">
        <v>6733</v>
      </c>
      <c r="M2856" t="s">
        <v>562</v>
      </c>
      <c r="N2856">
        <v>2</v>
      </c>
    </row>
    <row r="2857" spans="1:14" x14ac:dyDescent="0.25">
      <c r="A2857" s="3" t="str">
        <f>HYPERLINK("http://www.ncbi.nlm.nih.gov/gene/4942","4942")</f>
        <v>4942</v>
      </c>
      <c r="B2857" s="1" t="s">
        <v>6735</v>
      </c>
      <c r="C2857" t="s">
        <v>6736</v>
      </c>
      <c r="D2857">
        <v>85.7</v>
      </c>
      <c r="E2857">
        <v>87</v>
      </c>
      <c r="F2857">
        <v>85.2</v>
      </c>
      <c r="G2857">
        <v>76.3</v>
      </c>
      <c r="H2857">
        <v>127.7</v>
      </c>
      <c r="I2857">
        <v>131.9</v>
      </c>
      <c r="J2857">
        <v>100</v>
      </c>
      <c r="K2857">
        <v>100</v>
      </c>
      <c r="L2857" s="1" t="s">
        <v>6735</v>
      </c>
      <c r="M2857" t="s">
        <v>6737</v>
      </c>
      <c r="N2857">
        <v>5</v>
      </c>
    </row>
    <row r="2858" spans="1:14" x14ac:dyDescent="0.25">
      <c r="A2858" s="3" t="str">
        <f>HYPERLINK("http://www.ncbi.nlm.nih.gov/gene/84033","84033")</f>
        <v>84033</v>
      </c>
      <c r="B2858" s="1" t="s">
        <v>6738</v>
      </c>
      <c r="C2858" t="s">
        <v>6739</v>
      </c>
      <c r="D2858">
        <v>141.6</v>
      </c>
      <c r="E2858">
        <v>142.4</v>
      </c>
      <c r="F2858">
        <v>99.3</v>
      </c>
      <c r="G2858">
        <v>98.1</v>
      </c>
      <c r="H2858">
        <v>176.2</v>
      </c>
      <c r="I2858">
        <v>182.2</v>
      </c>
      <c r="J2858">
        <v>100</v>
      </c>
      <c r="K2858">
        <v>99.9</v>
      </c>
      <c r="L2858" s="1" t="s">
        <v>6738</v>
      </c>
      <c r="M2858" t="s">
        <v>741</v>
      </c>
      <c r="N2858">
        <v>3</v>
      </c>
    </row>
    <row r="2859" spans="1:14" x14ac:dyDescent="0.25">
      <c r="A2859" s="3" t="str">
        <f>HYPERLINK("http://www.ncbi.nlm.nih.gov/gene/23363","23363")</f>
        <v>23363</v>
      </c>
      <c r="B2859" s="1" t="s">
        <v>6740</v>
      </c>
      <c r="D2859">
        <v>148.19999999999999</v>
      </c>
      <c r="E2859">
        <v>149.30000000000001</v>
      </c>
      <c r="F2859">
        <v>100</v>
      </c>
      <c r="G2859">
        <v>99.3</v>
      </c>
      <c r="H2859">
        <v>163.4</v>
      </c>
      <c r="I2859">
        <v>167.1</v>
      </c>
      <c r="J2859">
        <v>100</v>
      </c>
      <c r="K2859">
        <v>100</v>
      </c>
      <c r="L2859" s="1" t="s">
        <v>6740</v>
      </c>
      <c r="M2859" t="s">
        <v>1168</v>
      </c>
      <c r="N2859">
        <v>3</v>
      </c>
    </row>
    <row r="2860" spans="1:14" x14ac:dyDescent="0.25">
      <c r="A2860" s="3" t="str">
        <f>HYPERLINK("http://www.ncbi.nlm.nih.gov/gene/4948","4948")</f>
        <v>4948</v>
      </c>
      <c r="B2860" s="1" t="s">
        <v>6741</v>
      </c>
      <c r="C2860" t="s">
        <v>6742</v>
      </c>
      <c r="D2860">
        <v>126.3</v>
      </c>
      <c r="E2860">
        <v>128.6</v>
      </c>
      <c r="F2860">
        <v>99.9</v>
      </c>
      <c r="G2860">
        <v>98.7</v>
      </c>
      <c r="H2860">
        <v>179.2</v>
      </c>
      <c r="I2860">
        <v>183.6</v>
      </c>
      <c r="J2860">
        <v>100</v>
      </c>
      <c r="K2860">
        <v>100</v>
      </c>
      <c r="L2860" s="1" t="s">
        <v>6741</v>
      </c>
      <c r="M2860" t="s">
        <v>6743</v>
      </c>
      <c r="N2860">
        <v>5</v>
      </c>
    </row>
    <row r="2861" spans="1:14" x14ac:dyDescent="0.25">
      <c r="A2861" s="3" t="str">
        <f>HYPERLINK("http://www.ncbi.nlm.nih.gov/gene/100506658","100506658")</f>
        <v>100506658</v>
      </c>
      <c r="B2861" s="1" t="s">
        <v>6744</v>
      </c>
      <c r="C2861" t="s">
        <v>6745</v>
      </c>
      <c r="D2861">
        <v>205.2</v>
      </c>
      <c r="E2861">
        <v>204.3</v>
      </c>
      <c r="F2861">
        <v>100</v>
      </c>
      <c r="G2861">
        <v>100</v>
      </c>
      <c r="H2861">
        <v>195.6</v>
      </c>
      <c r="I2861">
        <v>200.7</v>
      </c>
      <c r="J2861">
        <v>100</v>
      </c>
      <c r="K2861">
        <v>100</v>
      </c>
      <c r="L2861" s="1" t="s">
        <v>6744</v>
      </c>
      <c r="M2861" t="s">
        <v>548</v>
      </c>
      <c r="N2861">
        <v>5</v>
      </c>
    </row>
    <row r="2862" spans="1:14" x14ac:dyDescent="0.25">
      <c r="A2862" s="3" t="str">
        <f>HYPERLINK("http://www.ncbi.nlm.nih.gov/gene/4952","4952")</f>
        <v>4952</v>
      </c>
      <c r="B2862" s="1" t="s">
        <v>6746</v>
      </c>
      <c r="C2862" t="s">
        <v>6747</v>
      </c>
      <c r="D2862">
        <v>124.1</v>
      </c>
      <c r="E2862">
        <v>127.1</v>
      </c>
      <c r="F2862">
        <v>99.9</v>
      </c>
      <c r="G2862">
        <v>98.6</v>
      </c>
      <c r="H2862">
        <v>118.8</v>
      </c>
      <c r="I2862">
        <v>121.8</v>
      </c>
      <c r="J2862">
        <v>100</v>
      </c>
      <c r="K2862">
        <v>99.9</v>
      </c>
      <c r="L2862" s="1" t="s">
        <v>6746</v>
      </c>
      <c r="M2862" t="s">
        <v>6748</v>
      </c>
      <c r="N2862">
        <v>6</v>
      </c>
    </row>
    <row r="2863" spans="1:14" x14ac:dyDescent="0.25">
      <c r="A2863" s="3" t="str">
        <f>HYPERLINK("http://www.ncbi.nlm.nih.gov/gene/93233","93233")</f>
        <v>93233</v>
      </c>
      <c r="B2863" s="1" t="s">
        <v>6749</v>
      </c>
      <c r="C2863" t="s">
        <v>6750</v>
      </c>
      <c r="D2863">
        <v>130.4</v>
      </c>
      <c r="E2863">
        <v>133.4</v>
      </c>
      <c r="F2863">
        <v>100</v>
      </c>
      <c r="G2863">
        <v>100</v>
      </c>
      <c r="H2863">
        <v>134.1</v>
      </c>
      <c r="I2863">
        <v>138.9</v>
      </c>
      <c r="J2863">
        <v>100</v>
      </c>
      <c r="K2863">
        <v>100</v>
      </c>
      <c r="L2863" s="1" t="s">
        <v>6751</v>
      </c>
      <c r="M2863" t="s">
        <v>1483</v>
      </c>
      <c r="N2863">
        <v>3</v>
      </c>
    </row>
    <row r="2864" spans="1:14" x14ac:dyDescent="0.25">
      <c r="A2864" s="3" t="str">
        <f>HYPERLINK("http://www.ncbi.nlm.nih.gov/gene/55130","55130")</f>
        <v>55130</v>
      </c>
      <c r="B2864" s="1" t="s">
        <v>6752</v>
      </c>
      <c r="C2864" t="s">
        <v>6753</v>
      </c>
      <c r="D2864">
        <v>121</v>
      </c>
      <c r="E2864">
        <v>126.1</v>
      </c>
      <c r="F2864">
        <v>92.1</v>
      </c>
      <c r="G2864">
        <v>90</v>
      </c>
      <c r="H2864">
        <v>135.1</v>
      </c>
      <c r="I2864">
        <v>139.5</v>
      </c>
      <c r="J2864">
        <v>96.3</v>
      </c>
      <c r="K2864">
        <v>96.3</v>
      </c>
      <c r="L2864" s="1" t="s">
        <v>6754</v>
      </c>
      <c r="M2864" t="s">
        <v>1483</v>
      </c>
      <c r="N2864">
        <v>3</v>
      </c>
    </row>
    <row r="2865" spans="1:14" x14ac:dyDescent="0.25">
      <c r="A2865" s="3" t="str">
        <f>HYPERLINK("http://www.ncbi.nlm.nih.gov/gene/115948","115948")</f>
        <v>115948</v>
      </c>
      <c r="B2865" s="1" t="s">
        <v>6755</v>
      </c>
      <c r="C2865" t="s">
        <v>6756</v>
      </c>
      <c r="D2865">
        <v>119</v>
      </c>
      <c r="E2865">
        <v>122.2</v>
      </c>
      <c r="F2865">
        <v>100</v>
      </c>
      <c r="G2865">
        <v>99.7</v>
      </c>
      <c r="H2865">
        <v>146.9</v>
      </c>
      <c r="I2865">
        <v>150.69999999999999</v>
      </c>
      <c r="J2865">
        <v>100</v>
      </c>
      <c r="K2865">
        <v>100</v>
      </c>
      <c r="L2865" s="1" t="s">
        <v>6757</v>
      </c>
      <c r="M2865" t="s">
        <v>1483</v>
      </c>
      <c r="N2865">
        <v>3</v>
      </c>
    </row>
    <row r="2866" spans="1:14" x14ac:dyDescent="0.25">
      <c r="A2866" s="3" t="str">
        <f>HYPERLINK("http://www.ncbi.nlm.nih.gov/gene/83538","83538")</f>
        <v>83538</v>
      </c>
      <c r="B2866" s="1" t="s">
        <v>6758</v>
      </c>
      <c r="C2866" t="s">
        <v>6759</v>
      </c>
      <c r="D2866">
        <v>91</v>
      </c>
      <c r="E2866">
        <v>92.2</v>
      </c>
      <c r="F2866">
        <v>100</v>
      </c>
      <c r="G2866">
        <v>100</v>
      </c>
      <c r="H2866">
        <v>123.7</v>
      </c>
      <c r="I2866">
        <v>127.5</v>
      </c>
      <c r="J2866">
        <v>100</v>
      </c>
      <c r="K2866">
        <v>100</v>
      </c>
      <c r="L2866" s="1" t="s">
        <v>6759</v>
      </c>
      <c r="M2866" t="s">
        <v>1483</v>
      </c>
      <c r="N2866">
        <v>3</v>
      </c>
    </row>
    <row r="2867" spans="1:14" x14ac:dyDescent="0.25">
      <c r="A2867" s="3" t="str">
        <f>HYPERLINK("http://www.ncbi.nlm.nih.gov/gene/54959","54959")</f>
        <v>54959</v>
      </c>
      <c r="B2867" s="1" t="s">
        <v>6760</v>
      </c>
      <c r="C2867" t="s">
        <v>6761</v>
      </c>
      <c r="D2867">
        <v>159.30000000000001</v>
      </c>
      <c r="E2867">
        <v>164.5</v>
      </c>
      <c r="F2867">
        <v>99.8</v>
      </c>
      <c r="G2867">
        <v>98.7</v>
      </c>
      <c r="H2867">
        <v>130.9</v>
      </c>
      <c r="I2867">
        <v>133.69999999999999</v>
      </c>
      <c r="J2867">
        <v>100</v>
      </c>
      <c r="K2867">
        <v>100</v>
      </c>
      <c r="L2867" s="1" t="s">
        <v>6760</v>
      </c>
      <c r="M2867" t="s">
        <v>47</v>
      </c>
      <c r="N2867">
        <v>2</v>
      </c>
    </row>
    <row r="2868" spans="1:14" x14ac:dyDescent="0.25">
      <c r="A2868" s="3" t="str">
        <f>HYPERLINK("http://www.ncbi.nlm.nih.gov/gene/152816","152816")</f>
        <v>152816</v>
      </c>
      <c r="B2868" s="1" t="s">
        <v>6762</v>
      </c>
      <c r="C2868" t="s">
        <v>6763</v>
      </c>
      <c r="D2868">
        <v>259.39999999999998</v>
      </c>
      <c r="E2868">
        <v>279.7</v>
      </c>
      <c r="F2868">
        <v>100</v>
      </c>
      <c r="G2868">
        <v>100</v>
      </c>
      <c r="H2868">
        <v>140.4</v>
      </c>
      <c r="I2868">
        <v>145</v>
      </c>
      <c r="J2868">
        <v>100</v>
      </c>
      <c r="K2868">
        <v>100</v>
      </c>
      <c r="L2868" s="1" t="s">
        <v>6762</v>
      </c>
      <c r="M2868" t="s">
        <v>4879</v>
      </c>
      <c r="N2868">
        <v>4</v>
      </c>
    </row>
    <row r="2869" spans="1:14" x14ac:dyDescent="0.25">
      <c r="A2869" s="3" t="str">
        <f>HYPERLINK("http://www.ncbi.nlm.nih.gov/gene/4953","4953")</f>
        <v>4953</v>
      </c>
      <c r="B2869" s="1" t="s">
        <v>6764</v>
      </c>
      <c r="C2869" t="s">
        <v>6765</v>
      </c>
      <c r="D2869">
        <v>153.19999999999999</v>
      </c>
      <c r="E2869">
        <v>155.19999999999999</v>
      </c>
      <c r="F2869">
        <v>100</v>
      </c>
      <c r="G2869">
        <v>99.8</v>
      </c>
      <c r="H2869">
        <v>134</v>
      </c>
      <c r="I2869">
        <v>137.69999999999999</v>
      </c>
      <c r="J2869">
        <v>100</v>
      </c>
      <c r="K2869">
        <v>100</v>
      </c>
      <c r="L2869" s="1" t="s">
        <v>6764</v>
      </c>
      <c r="M2869" t="s">
        <v>189</v>
      </c>
      <c r="N2869">
        <v>2</v>
      </c>
    </row>
    <row r="2870" spans="1:14" x14ac:dyDescent="0.25">
      <c r="A2870" s="3" t="str">
        <f>HYPERLINK("http://www.ncbi.nlm.nih.gov/gene/8481","8481")</f>
        <v>8481</v>
      </c>
      <c r="B2870" s="1" t="s">
        <v>6766</v>
      </c>
      <c r="C2870" t="s">
        <v>6767</v>
      </c>
      <c r="D2870">
        <v>61</v>
      </c>
      <c r="E2870">
        <v>61.2</v>
      </c>
      <c r="F2870">
        <v>88</v>
      </c>
      <c r="G2870">
        <v>73.7</v>
      </c>
      <c r="H2870">
        <v>102</v>
      </c>
      <c r="I2870">
        <v>104.2</v>
      </c>
      <c r="J2870">
        <v>100</v>
      </c>
      <c r="K2870">
        <v>99.9</v>
      </c>
      <c r="L2870" s="1" t="s">
        <v>6766</v>
      </c>
      <c r="M2870" t="s">
        <v>6768</v>
      </c>
      <c r="N2870">
        <v>10</v>
      </c>
    </row>
    <row r="2871" spans="1:14" x14ac:dyDescent="0.25">
      <c r="A2871" s="3" t="str">
        <f>HYPERLINK("http://www.ncbi.nlm.nih.gov/gene/4967","4967")</f>
        <v>4967</v>
      </c>
      <c r="B2871" s="1" t="s">
        <v>6769</v>
      </c>
      <c r="C2871" t="s">
        <v>6770</v>
      </c>
      <c r="D2871">
        <v>178.5</v>
      </c>
      <c r="E2871">
        <v>185.9</v>
      </c>
      <c r="F2871">
        <v>100</v>
      </c>
      <c r="G2871">
        <v>99.9</v>
      </c>
      <c r="H2871">
        <v>143.4</v>
      </c>
      <c r="I2871">
        <v>148.1</v>
      </c>
      <c r="J2871">
        <v>100</v>
      </c>
      <c r="K2871">
        <v>100</v>
      </c>
      <c r="L2871" s="1" t="s">
        <v>6769</v>
      </c>
      <c r="M2871" t="s">
        <v>2287</v>
      </c>
      <c r="N2871">
        <v>4</v>
      </c>
    </row>
    <row r="2872" spans="1:14" x14ac:dyDescent="0.25">
      <c r="A2872" s="3" t="str">
        <f>HYPERLINK("http://www.ncbi.nlm.nih.gov/gene/4968","4968")</f>
        <v>4968</v>
      </c>
      <c r="B2872" s="1" t="s">
        <v>6771</v>
      </c>
      <c r="C2872" t="s">
        <v>6772</v>
      </c>
      <c r="D2872">
        <v>126.6</v>
      </c>
      <c r="E2872">
        <v>133.1</v>
      </c>
      <c r="F2872">
        <v>100</v>
      </c>
      <c r="G2872">
        <v>99.8</v>
      </c>
      <c r="H2872">
        <v>148.19999999999999</v>
      </c>
      <c r="I2872">
        <v>152.80000000000001</v>
      </c>
      <c r="J2872">
        <v>100</v>
      </c>
      <c r="K2872">
        <v>100</v>
      </c>
      <c r="L2872" s="1" t="s">
        <v>6771</v>
      </c>
      <c r="M2872" t="s">
        <v>22</v>
      </c>
      <c r="N2872">
        <v>1</v>
      </c>
    </row>
    <row r="2873" spans="1:14" x14ac:dyDescent="0.25">
      <c r="A2873" s="3" t="str">
        <f>HYPERLINK("http://www.ncbi.nlm.nih.gov/gene/8473","8473")</f>
        <v>8473</v>
      </c>
      <c r="B2873" s="1" t="s">
        <v>6773</v>
      </c>
      <c r="C2873" t="s">
        <v>6774</v>
      </c>
      <c r="D2873">
        <v>130.6</v>
      </c>
      <c r="E2873">
        <v>134.5</v>
      </c>
      <c r="F2873">
        <v>99.9</v>
      </c>
      <c r="G2873">
        <v>99</v>
      </c>
      <c r="H2873">
        <v>119.3</v>
      </c>
      <c r="I2873">
        <v>122.6</v>
      </c>
      <c r="J2873">
        <v>100</v>
      </c>
      <c r="K2873">
        <v>100</v>
      </c>
      <c r="L2873" s="1" t="s">
        <v>6773</v>
      </c>
      <c r="M2873" t="s">
        <v>1240</v>
      </c>
      <c r="N2873">
        <v>2</v>
      </c>
    </row>
    <row r="2874" spans="1:14" x14ac:dyDescent="0.25">
      <c r="A2874" s="3" t="str">
        <f>HYPERLINK("http://www.ncbi.nlm.nih.gov/gene/4976","4976")</f>
        <v>4976</v>
      </c>
      <c r="B2874" s="1" t="s">
        <v>6775</v>
      </c>
      <c r="C2874" t="s">
        <v>6776</v>
      </c>
      <c r="D2874">
        <v>151.19999999999999</v>
      </c>
      <c r="E2874">
        <v>155.19999999999999</v>
      </c>
      <c r="F2874">
        <v>99.6</v>
      </c>
      <c r="G2874">
        <v>97.6</v>
      </c>
      <c r="H2874">
        <v>113.4</v>
      </c>
      <c r="I2874">
        <v>115.8</v>
      </c>
      <c r="J2874">
        <v>100</v>
      </c>
      <c r="K2874">
        <v>100</v>
      </c>
      <c r="L2874" s="1" t="s">
        <v>6775</v>
      </c>
      <c r="M2874" t="s">
        <v>6777</v>
      </c>
      <c r="N2874">
        <v>7</v>
      </c>
    </row>
    <row r="2875" spans="1:14" x14ac:dyDescent="0.25">
      <c r="A2875" s="3" t="str">
        <f>HYPERLINK("http://www.ncbi.nlm.nih.gov/gene/80207","80207")</f>
        <v>80207</v>
      </c>
      <c r="B2875" s="1" t="s">
        <v>6778</v>
      </c>
      <c r="C2875" t="s">
        <v>6779</v>
      </c>
      <c r="D2875">
        <v>120.5</v>
      </c>
      <c r="E2875">
        <v>124.4</v>
      </c>
      <c r="F2875">
        <v>100</v>
      </c>
      <c r="G2875">
        <v>99</v>
      </c>
      <c r="H2875">
        <v>150.19999999999999</v>
      </c>
      <c r="I2875">
        <v>154.69999999999999</v>
      </c>
      <c r="J2875">
        <v>100</v>
      </c>
      <c r="K2875">
        <v>100</v>
      </c>
      <c r="L2875" s="1" t="s">
        <v>6778</v>
      </c>
      <c r="M2875" t="s">
        <v>6780</v>
      </c>
      <c r="N2875">
        <v>6</v>
      </c>
    </row>
    <row r="2876" spans="1:14" x14ac:dyDescent="0.25">
      <c r="A2876" s="3" t="str">
        <f>HYPERLINK("http://www.ncbi.nlm.nih.gov/gene/4978","4978")</f>
        <v>4978</v>
      </c>
      <c r="B2876" s="1" t="s">
        <v>6781</v>
      </c>
      <c r="C2876" t="s">
        <v>6782</v>
      </c>
      <c r="D2876">
        <v>155</v>
      </c>
      <c r="E2876">
        <v>157.6</v>
      </c>
      <c r="F2876">
        <v>99.6</v>
      </c>
      <c r="G2876">
        <v>99.6</v>
      </c>
      <c r="H2876">
        <v>158.80000000000001</v>
      </c>
      <c r="I2876">
        <v>162.9</v>
      </c>
      <c r="J2876">
        <v>100</v>
      </c>
      <c r="K2876">
        <v>100</v>
      </c>
      <c r="L2876" s="1" t="s">
        <v>6781</v>
      </c>
      <c r="M2876" t="s">
        <v>22</v>
      </c>
      <c r="N2876">
        <v>1</v>
      </c>
    </row>
    <row r="2877" spans="1:14" x14ac:dyDescent="0.25">
      <c r="A2877" s="3" t="str">
        <f>HYPERLINK("http://www.ncbi.nlm.nih.gov/gene/4983","4983")</f>
        <v>4983</v>
      </c>
      <c r="B2877" s="1" t="s">
        <v>6783</v>
      </c>
      <c r="C2877" t="s">
        <v>6784</v>
      </c>
      <c r="D2877">
        <v>100.1</v>
      </c>
      <c r="E2877">
        <v>104.2</v>
      </c>
      <c r="F2877">
        <v>99.5</v>
      </c>
      <c r="G2877">
        <v>97.6</v>
      </c>
      <c r="H2877">
        <v>126.1</v>
      </c>
      <c r="I2877">
        <v>129.1</v>
      </c>
      <c r="J2877">
        <v>99.9</v>
      </c>
      <c r="K2877">
        <v>98.8</v>
      </c>
      <c r="L2877" s="1" t="s">
        <v>6783</v>
      </c>
      <c r="M2877" t="s">
        <v>6785</v>
      </c>
      <c r="N2877">
        <v>4</v>
      </c>
    </row>
    <row r="2878" spans="1:14" x14ac:dyDescent="0.25">
      <c r="A2878" s="3" t="str">
        <f>HYPERLINK("http://www.ncbi.nlm.nih.gov/gene/26873","26873")</f>
        <v>26873</v>
      </c>
      <c r="B2878" s="1" t="s">
        <v>6786</v>
      </c>
      <c r="C2878" t="s">
        <v>6787</v>
      </c>
      <c r="D2878">
        <v>135</v>
      </c>
      <c r="E2878">
        <v>136.30000000000001</v>
      </c>
      <c r="F2878">
        <v>100</v>
      </c>
      <c r="G2878">
        <v>99.8</v>
      </c>
      <c r="H2878">
        <v>150.4</v>
      </c>
      <c r="I2878">
        <v>154.5</v>
      </c>
      <c r="J2878">
        <v>100</v>
      </c>
      <c r="K2878">
        <v>100</v>
      </c>
      <c r="L2878" s="1" t="s">
        <v>6786</v>
      </c>
      <c r="M2878" t="s">
        <v>4025</v>
      </c>
      <c r="N2878">
        <v>3</v>
      </c>
    </row>
    <row r="2879" spans="1:14" x14ac:dyDescent="0.25">
      <c r="A2879" s="3" t="str">
        <f>HYPERLINK("http://www.ncbi.nlm.nih.gov/gene/5956","5956")</f>
        <v>5956</v>
      </c>
      <c r="B2879" s="1" t="s">
        <v>6788</v>
      </c>
      <c r="C2879" t="s">
        <v>6789</v>
      </c>
      <c r="D2879">
        <v>71.5</v>
      </c>
      <c r="E2879">
        <v>77.099999999999994</v>
      </c>
      <c r="F2879">
        <v>67.2</v>
      </c>
      <c r="G2879">
        <v>60.6</v>
      </c>
      <c r="H2879">
        <v>174.1</v>
      </c>
      <c r="I2879">
        <v>179.8</v>
      </c>
      <c r="J2879">
        <v>98.3</v>
      </c>
      <c r="K2879">
        <v>98.1</v>
      </c>
      <c r="L2879" s="1" t="s">
        <v>6788</v>
      </c>
      <c r="M2879" t="s">
        <v>772</v>
      </c>
      <c r="N2879">
        <v>2</v>
      </c>
    </row>
    <row r="2880" spans="1:14" x14ac:dyDescent="0.25">
      <c r="A2880" s="3" t="str">
        <f>HYPERLINK("http://www.ncbi.nlm.nih.gov/gene/2652","2652")</f>
        <v>2652</v>
      </c>
      <c r="B2880" s="1" t="s">
        <v>6790</v>
      </c>
      <c r="C2880" t="s">
        <v>6791</v>
      </c>
      <c r="D2880">
        <v>62.6</v>
      </c>
      <c r="E2880">
        <v>68.2</v>
      </c>
      <c r="F2880">
        <v>66.3</v>
      </c>
      <c r="G2880">
        <v>58.5</v>
      </c>
      <c r="H2880">
        <v>165.3</v>
      </c>
      <c r="I2880">
        <v>171.1</v>
      </c>
      <c r="J2880">
        <v>98.9</v>
      </c>
      <c r="K2880">
        <v>97.5</v>
      </c>
      <c r="L2880" s="1" t="s">
        <v>6790</v>
      </c>
      <c r="M2880" t="s">
        <v>772</v>
      </c>
      <c r="N2880">
        <v>2</v>
      </c>
    </row>
    <row r="2881" spans="1:14" x14ac:dyDescent="0.25">
      <c r="A2881" s="3" t="str">
        <f>HYPERLINK("http://www.ncbi.nlm.nih.gov/gene/611","611")</f>
        <v>611</v>
      </c>
      <c r="B2881" s="1" t="s">
        <v>6792</v>
      </c>
      <c r="C2881" t="s">
        <v>6793</v>
      </c>
      <c r="D2881">
        <v>110.4</v>
      </c>
      <c r="E2881">
        <v>112.2</v>
      </c>
      <c r="F2881">
        <v>100</v>
      </c>
      <c r="G2881">
        <v>100</v>
      </c>
      <c r="H2881">
        <v>140.9</v>
      </c>
      <c r="I2881">
        <v>143.5</v>
      </c>
      <c r="J2881">
        <v>100</v>
      </c>
      <c r="K2881">
        <v>100</v>
      </c>
      <c r="L2881" s="1" t="s">
        <v>6792</v>
      </c>
      <c r="M2881" t="s">
        <v>285</v>
      </c>
      <c r="N2881">
        <v>1</v>
      </c>
    </row>
    <row r="2882" spans="1:14" x14ac:dyDescent="0.25">
      <c r="A2882" s="3" t="str">
        <f>HYPERLINK("http://www.ncbi.nlm.nih.gov/gene/10133","10133")</f>
        <v>10133</v>
      </c>
      <c r="B2882" s="1" t="s">
        <v>6794</v>
      </c>
      <c r="C2882" t="s">
        <v>6795</v>
      </c>
      <c r="D2882">
        <v>115.4</v>
      </c>
      <c r="E2882">
        <v>119.9</v>
      </c>
      <c r="F2882">
        <v>100</v>
      </c>
      <c r="G2882">
        <v>99.9</v>
      </c>
      <c r="H2882">
        <v>124.7</v>
      </c>
      <c r="I2882">
        <v>128.5</v>
      </c>
      <c r="J2882">
        <v>100</v>
      </c>
      <c r="K2882">
        <v>100</v>
      </c>
      <c r="L2882" s="1" t="s">
        <v>6794</v>
      </c>
      <c r="M2882" t="s">
        <v>6796</v>
      </c>
      <c r="N2882">
        <v>3</v>
      </c>
    </row>
    <row r="2883" spans="1:14" x14ac:dyDescent="0.25">
      <c r="A2883" s="3" t="str">
        <f>HYPERLINK("http://www.ncbi.nlm.nih.gov/gene/84876","84876")</f>
        <v>84876</v>
      </c>
      <c r="B2883" s="1" t="s">
        <v>6797</v>
      </c>
      <c r="C2883" t="s">
        <v>6798</v>
      </c>
      <c r="D2883">
        <v>170.3</v>
      </c>
      <c r="E2883">
        <v>183.1</v>
      </c>
      <c r="F2883">
        <v>99.1</v>
      </c>
      <c r="G2883">
        <v>96.4</v>
      </c>
      <c r="H2883">
        <v>151.1</v>
      </c>
      <c r="I2883">
        <v>152.5</v>
      </c>
      <c r="J2883">
        <v>99.6</v>
      </c>
      <c r="K2883">
        <v>97.1</v>
      </c>
      <c r="L2883" s="1" t="s">
        <v>6797</v>
      </c>
      <c r="M2883" t="s">
        <v>6799</v>
      </c>
      <c r="N2883">
        <v>5</v>
      </c>
    </row>
    <row r="2884" spans="1:14" x14ac:dyDescent="0.25">
      <c r="A2884" s="3" t="str">
        <f>HYPERLINK("http://www.ncbi.nlm.nih.gov/gene/4998","4998")</f>
        <v>4998</v>
      </c>
      <c r="B2884" s="1" t="s">
        <v>6800</v>
      </c>
      <c r="C2884" t="s">
        <v>6801</v>
      </c>
      <c r="D2884">
        <v>107.9</v>
      </c>
      <c r="E2884">
        <v>110.6</v>
      </c>
      <c r="F2884">
        <v>100</v>
      </c>
      <c r="G2884">
        <v>99.4</v>
      </c>
      <c r="H2884">
        <v>130.1</v>
      </c>
      <c r="I2884">
        <v>132.1</v>
      </c>
      <c r="J2884">
        <v>100</v>
      </c>
      <c r="K2884">
        <v>100</v>
      </c>
      <c r="L2884" s="1" t="s">
        <v>6800</v>
      </c>
      <c r="M2884" t="s">
        <v>6802</v>
      </c>
      <c r="N2884">
        <v>5</v>
      </c>
    </row>
    <row r="2885" spans="1:14" x14ac:dyDescent="0.25">
      <c r="A2885" s="3" t="str">
        <f>HYPERLINK("http://www.ncbi.nlm.nih.gov/gene/5000","5000")</f>
        <v>5000</v>
      </c>
      <c r="B2885" s="1" t="s">
        <v>6803</v>
      </c>
      <c r="C2885" t="s">
        <v>6804</v>
      </c>
      <c r="D2885">
        <v>84.8</v>
      </c>
      <c r="E2885">
        <v>88.1</v>
      </c>
      <c r="F2885">
        <v>98.7</v>
      </c>
      <c r="G2885">
        <v>93.6</v>
      </c>
      <c r="H2885">
        <v>114.9</v>
      </c>
      <c r="I2885">
        <v>118</v>
      </c>
      <c r="J2885">
        <v>100</v>
      </c>
      <c r="K2885">
        <v>100</v>
      </c>
      <c r="L2885" s="1" t="s">
        <v>6803</v>
      </c>
      <c r="M2885" t="s">
        <v>1168</v>
      </c>
      <c r="N2885">
        <v>3</v>
      </c>
    </row>
    <row r="2886" spans="1:14" x14ac:dyDescent="0.25">
      <c r="A2886" s="3" t="str">
        <f>HYPERLINK("http://www.ncbi.nlm.nih.gov/gene/23594","23594")</f>
        <v>23594</v>
      </c>
      <c r="B2886" s="1" t="s">
        <v>6805</v>
      </c>
      <c r="C2886" t="s">
        <v>6806</v>
      </c>
      <c r="D2886">
        <v>126.5</v>
      </c>
      <c r="E2886">
        <v>128</v>
      </c>
      <c r="F2886">
        <v>100</v>
      </c>
      <c r="G2886">
        <v>99.9</v>
      </c>
      <c r="H2886">
        <v>124.6</v>
      </c>
      <c r="I2886">
        <v>127</v>
      </c>
      <c r="J2886">
        <v>100</v>
      </c>
      <c r="K2886">
        <v>100</v>
      </c>
      <c r="L2886" s="1" t="s">
        <v>6805</v>
      </c>
      <c r="M2886" t="s">
        <v>1168</v>
      </c>
      <c r="N2886">
        <v>3</v>
      </c>
    </row>
    <row r="2887" spans="1:14" x14ac:dyDescent="0.25">
      <c r="A2887" s="3" t="str">
        <f>HYPERLINK("http://www.ncbi.nlm.nih.gov/gene/9885","9885")</f>
        <v>9885</v>
      </c>
      <c r="B2887" s="1" t="s">
        <v>6807</v>
      </c>
      <c r="C2887" t="s">
        <v>6808</v>
      </c>
      <c r="D2887">
        <v>148</v>
      </c>
      <c r="E2887">
        <v>154.4</v>
      </c>
      <c r="F2887">
        <v>100</v>
      </c>
      <c r="G2887">
        <v>100</v>
      </c>
      <c r="H2887">
        <v>141.6</v>
      </c>
      <c r="I2887">
        <v>145.9</v>
      </c>
      <c r="J2887">
        <v>100</v>
      </c>
      <c r="K2887">
        <v>100</v>
      </c>
      <c r="L2887" s="1" t="s">
        <v>6807</v>
      </c>
      <c r="M2887" t="s">
        <v>76</v>
      </c>
      <c r="N2887">
        <v>2</v>
      </c>
    </row>
    <row r="2888" spans="1:14" x14ac:dyDescent="0.25">
      <c r="A2888" s="3" t="str">
        <f>HYPERLINK("http://www.ncbi.nlm.nih.gov/gene/55644","55644")</f>
        <v>55644</v>
      </c>
      <c r="B2888" s="1" t="s">
        <v>6809</v>
      </c>
      <c r="C2888" t="s">
        <v>6810</v>
      </c>
      <c r="D2888">
        <v>106.3</v>
      </c>
      <c r="E2888">
        <v>107.3</v>
      </c>
      <c r="F2888">
        <v>100</v>
      </c>
      <c r="G2888">
        <v>99.4</v>
      </c>
      <c r="H2888">
        <v>129.6</v>
      </c>
      <c r="I2888">
        <v>132.1</v>
      </c>
      <c r="J2888">
        <v>100</v>
      </c>
      <c r="K2888">
        <v>100</v>
      </c>
      <c r="L2888" s="1" t="s">
        <v>6809</v>
      </c>
      <c r="M2888" t="s">
        <v>6811</v>
      </c>
      <c r="N2888">
        <v>4</v>
      </c>
    </row>
    <row r="2889" spans="1:14" x14ac:dyDescent="0.25">
      <c r="A2889" s="3" t="str">
        <f>HYPERLINK("http://www.ncbi.nlm.nih.gov/gene/9180","9180")</f>
        <v>9180</v>
      </c>
      <c r="B2889" s="1" t="s">
        <v>6812</v>
      </c>
      <c r="C2889" t="s">
        <v>6813</v>
      </c>
      <c r="D2889">
        <v>149.1</v>
      </c>
      <c r="E2889">
        <v>155.1</v>
      </c>
      <c r="F2889">
        <v>100</v>
      </c>
      <c r="G2889">
        <v>99.7</v>
      </c>
      <c r="H2889">
        <v>142</v>
      </c>
      <c r="I2889">
        <v>145.69999999999999</v>
      </c>
      <c r="J2889">
        <v>100</v>
      </c>
      <c r="K2889">
        <v>100</v>
      </c>
      <c r="L2889" s="1" t="s">
        <v>6812</v>
      </c>
      <c r="M2889" t="s">
        <v>29</v>
      </c>
      <c r="N2889">
        <v>2</v>
      </c>
    </row>
    <row r="2890" spans="1:14" x14ac:dyDescent="0.25">
      <c r="A2890" s="3" t="str">
        <f>HYPERLINK("http://www.ncbi.nlm.nih.gov/gene/28962","28962")</f>
        <v>28962</v>
      </c>
      <c r="B2890" s="1" t="s">
        <v>6814</v>
      </c>
      <c r="C2890" t="s">
        <v>6815</v>
      </c>
      <c r="D2890">
        <v>106.1</v>
      </c>
      <c r="E2890">
        <v>95.7</v>
      </c>
      <c r="F2890">
        <v>98.6</v>
      </c>
      <c r="G2890">
        <v>94</v>
      </c>
      <c r="H2890">
        <v>146.30000000000001</v>
      </c>
      <c r="I2890">
        <v>150</v>
      </c>
      <c r="J2890">
        <v>100</v>
      </c>
      <c r="K2890">
        <v>100</v>
      </c>
      <c r="L2890" s="1" t="s">
        <v>6814</v>
      </c>
      <c r="M2890" t="s">
        <v>6816</v>
      </c>
      <c r="N2890">
        <v>4</v>
      </c>
    </row>
    <row r="2891" spans="1:14" x14ac:dyDescent="0.25">
      <c r="A2891" s="3" t="str">
        <f>HYPERLINK("http://www.ncbi.nlm.nih.gov/gene/5009","5009")</f>
        <v>5009</v>
      </c>
      <c r="B2891" s="1" t="s">
        <v>6817</v>
      </c>
      <c r="C2891" t="s">
        <v>6818</v>
      </c>
      <c r="D2891">
        <v>130.4</v>
      </c>
      <c r="E2891">
        <v>134.9</v>
      </c>
      <c r="F2891">
        <v>100</v>
      </c>
      <c r="G2891">
        <v>100</v>
      </c>
      <c r="H2891">
        <v>116.8</v>
      </c>
      <c r="I2891">
        <v>119.7</v>
      </c>
      <c r="J2891">
        <v>100</v>
      </c>
      <c r="K2891">
        <v>100</v>
      </c>
      <c r="L2891" s="1" t="s">
        <v>6817</v>
      </c>
      <c r="M2891" t="s">
        <v>5609</v>
      </c>
      <c r="N2891">
        <v>3</v>
      </c>
    </row>
    <row r="2892" spans="1:14" x14ac:dyDescent="0.25">
      <c r="A2892" s="3" t="str">
        <f>HYPERLINK("http://www.ncbi.nlm.nih.gov/gene/146183","146183")</f>
        <v>146183</v>
      </c>
      <c r="B2892" s="1" t="s">
        <v>6819</v>
      </c>
      <c r="C2892" t="s">
        <v>6820</v>
      </c>
      <c r="D2892">
        <v>111.5</v>
      </c>
      <c r="E2892">
        <v>116.2</v>
      </c>
      <c r="F2892">
        <v>99.4</v>
      </c>
      <c r="G2892">
        <v>97.6</v>
      </c>
      <c r="H2892">
        <v>130.4</v>
      </c>
      <c r="I2892">
        <v>133.80000000000001</v>
      </c>
      <c r="J2892">
        <v>100</v>
      </c>
      <c r="K2892">
        <v>99.9</v>
      </c>
      <c r="L2892" s="1" t="s">
        <v>6819</v>
      </c>
      <c r="M2892" t="s">
        <v>269</v>
      </c>
      <c r="N2892">
        <v>3</v>
      </c>
    </row>
    <row r="2893" spans="1:14" x14ac:dyDescent="0.25">
      <c r="A2893" s="3" t="str">
        <f>HYPERLINK("http://www.ncbi.nlm.nih.gov/gene/9381","9381")</f>
        <v>9381</v>
      </c>
      <c r="B2893" s="1" t="s">
        <v>6821</v>
      </c>
      <c r="C2893" t="s">
        <v>6822</v>
      </c>
      <c r="D2893">
        <v>140.30000000000001</v>
      </c>
      <c r="E2893">
        <v>146</v>
      </c>
      <c r="F2893">
        <v>100</v>
      </c>
      <c r="G2893">
        <v>99.9</v>
      </c>
      <c r="H2893">
        <v>139.19999999999999</v>
      </c>
      <c r="I2893">
        <v>143.30000000000001</v>
      </c>
      <c r="J2893">
        <v>100</v>
      </c>
      <c r="K2893">
        <v>100</v>
      </c>
      <c r="L2893" s="1" t="s">
        <v>6821</v>
      </c>
      <c r="M2893" t="s">
        <v>269</v>
      </c>
      <c r="N2893">
        <v>3</v>
      </c>
    </row>
    <row r="2894" spans="1:14" x14ac:dyDescent="0.25">
      <c r="A2894" s="3" t="str">
        <f>HYPERLINK("http://www.ncbi.nlm.nih.gov/gene/340990","340990")</f>
        <v>340990</v>
      </c>
      <c r="B2894" s="1" t="s">
        <v>6823</v>
      </c>
      <c r="C2894" t="s">
        <v>6824</v>
      </c>
      <c r="D2894">
        <v>136.5</v>
      </c>
      <c r="E2894">
        <v>138.9</v>
      </c>
      <c r="F2894">
        <v>99.4</v>
      </c>
      <c r="G2894">
        <v>98.6</v>
      </c>
      <c r="H2894">
        <v>156.19999999999999</v>
      </c>
      <c r="I2894">
        <v>160.69999999999999</v>
      </c>
      <c r="J2894">
        <v>100</v>
      </c>
      <c r="K2894">
        <v>100</v>
      </c>
      <c r="L2894" s="1" t="s">
        <v>6823</v>
      </c>
      <c r="M2894" t="s">
        <v>269</v>
      </c>
      <c r="N2894">
        <v>3</v>
      </c>
    </row>
    <row r="2895" spans="1:14" x14ac:dyDescent="0.25">
      <c r="A2895" s="3" t="str">
        <f>HYPERLINK("http://www.ncbi.nlm.nih.gov/gene/283310","283310")</f>
        <v>283310</v>
      </c>
      <c r="B2895" s="1" t="s">
        <v>6825</v>
      </c>
      <c r="C2895" t="s">
        <v>6826</v>
      </c>
      <c r="D2895">
        <v>122.3</v>
      </c>
      <c r="E2895">
        <v>127.2</v>
      </c>
      <c r="F2895">
        <v>99.5</v>
      </c>
      <c r="G2895">
        <v>97.4</v>
      </c>
      <c r="H2895">
        <v>106.2</v>
      </c>
      <c r="I2895">
        <v>109.3</v>
      </c>
      <c r="J2895">
        <v>100</v>
      </c>
      <c r="K2895">
        <v>100</v>
      </c>
      <c r="L2895" s="1" t="s">
        <v>6825</v>
      </c>
      <c r="M2895" t="s">
        <v>269</v>
      </c>
      <c r="N2895">
        <v>3</v>
      </c>
    </row>
    <row r="2896" spans="1:14" x14ac:dyDescent="0.25">
      <c r="A2896" s="3" t="str">
        <f>HYPERLINK("http://www.ncbi.nlm.nih.gov/gene/51633","51633")</f>
        <v>51633</v>
      </c>
      <c r="B2896" s="1" t="s">
        <v>6827</v>
      </c>
      <c r="C2896" t="s">
        <v>6828</v>
      </c>
      <c r="D2896">
        <v>118.5</v>
      </c>
      <c r="E2896">
        <v>122.6</v>
      </c>
      <c r="F2896">
        <v>99.9</v>
      </c>
      <c r="G2896">
        <v>98.8</v>
      </c>
      <c r="H2896">
        <v>118.4</v>
      </c>
      <c r="I2896">
        <v>121.3</v>
      </c>
      <c r="J2896">
        <v>100</v>
      </c>
      <c r="K2896">
        <v>100</v>
      </c>
      <c r="L2896" s="1" t="s">
        <v>6827</v>
      </c>
      <c r="M2896" t="s">
        <v>228</v>
      </c>
      <c r="N2896">
        <v>3</v>
      </c>
    </row>
    <row r="2897" spans="1:14" x14ac:dyDescent="0.25">
      <c r="A2897" s="3" t="str">
        <f>HYPERLINK("http://www.ncbi.nlm.nih.gov/gene/90268","90268")</f>
        <v>90268</v>
      </c>
      <c r="B2897" s="1" t="s">
        <v>6829</v>
      </c>
      <c r="C2897" t="s">
        <v>6830</v>
      </c>
      <c r="D2897">
        <v>144.6</v>
      </c>
      <c r="E2897">
        <v>148.9</v>
      </c>
      <c r="F2897">
        <v>92.6</v>
      </c>
      <c r="G2897">
        <v>86.5</v>
      </c>
      <c r="H2897">
        <v>110.4</v>
      </c>
      <c r="I2897">
        <v>113.5</v>
      </c>
      <c r="J2897">
        <v>99.2</v>
      </c>
      <c r="K2897">
        <v>95</v>
      </c>
      <c r="L2897" s="1" t="s">
        <v>6829</v>
      </c>
      <c r="M2897" t="s">
        <v>1097</v>
      </c>
      <c r="N2897">
        <v>3</v>
      </c>
    </row>
    <row r="2898" spans="1:14" x14ac:dyDescent="0.25">
      <c r="A2898" s="3" t="str">
        <f>HYPERLINK("http://www.ncbi.nlm.nih.gov/gene/5015","5015")</f>
        <v>5015</v>
      </c>
      <c r="B2898" s="1" t="s">
        <v>6831</v>
      </c>
      <c r="C2898" t="s">
        <v>6832</v>
      </c>
      <c r="D2898">
        <v>140.6</v>
      </c>
      <c r="E2898">
        <v>152.30000000000001</v>
      </c>
      <c r="F2898">
        <v>100</v>
      </c>
      <c r="G2898">
        <v>99.7</v>
      </c>
      <c r="H2898">
        <v>171.2</v>
      </c>
      <c r="I2898">
        <v>174.1</v>
      </c>
      <c r="J2898">
        <v>100</v>
      </c>
      <c r="K2898">
        <v>100</v>
      </c>
      <c r="L2898" s="1" t="s">
        <v>6831</v>
      </c>
      <c r="M2898" t="s">
        <v>6833</v>
      </c>
      <c r="N2898">
        <v>6</v>
      </c>
    </row>
    <row r="2899" spans="1:14" x14ac:dyDescent="0.25">
      <c r="A2899" s="3" t="str">
        <f>HYPERLINK("http://www.ncbi.nlm.nih.gov/gene/58495","58495")</f>
        <v>58495</v>
      </c>
      <c r="B2899" s="1" t="s">
        <v>6834</v>
      </c>
      <c r="C2899" t="s">
        <v>6835</v>
      </c>
      <c r="D2899">
        <v>107.6</v>
      </c>
      <c r="E2899">
        <v>111</v>
      </c>
      <c r="F2899">
        <v>95.7</v>
      </c>
      <c r="G2899">
        <v>89.5</v>
      </c>
      <c r="H2899">
        <v>125.5</v>
      </c>
      <c r="I2899">
        <v>129.5</v>
      </c>
      <c r="J2899">
        <v>100</v>
      </c>
      <c r="K2899">
        <v>100</v>
      </c>
      <c r="L2899" s="1" t="s">
        <v>6834</v>
      </c>
      <c r="M2899" t="s">
        <v>302</v>
      </c>
      <c r="N2899">
        <v>2</v>
      </c>
    </row>
    <row r="2900" spans="1:14" x14ac:dyDescent="0.25">
      <c r="A2900" s="3" t="str">
        <f>HYPERLINK("http://www.ncbi.nlm.nih.gov/gene/5018","5018")</f>
        <v>5018</v>
      </c>
      <c r="B2900" s="1" t="s">
        <v>6836</v>
      </c>
      <c r="C2900" t="s">
        <v>6837</v>
      </c>
      <c r="D2900">
        <v>161.69999999999999</v>
      </c>
      <c r="E2900">
        <v>167.6</v>
      </c>
      <c r="F2900">
        <v>100</v>
      </c>
      <c r="G2900">
        <v>99.8</v>
      </c>
      <c r="H2900">
        <v>136.6</v>
      </c>
      <c r="I2900">
        <v>140.4</v>
      </c>
      <c r="J2900">
        <v>100</v>
      </c>
      <c r="K2900">
        <v>100</v>
      </c>
      <c r="L2900" s="1" t="s">
        <v>6836</v>
      </c>
      <c r="M2900" t="s">
        <v>265</v>
      </c>
      <c r="N2900">
        <v>2</v>
      </c>
    </row>
    <row r="2901" spans="1:14" x14ac:dyDescent="0.25">
      <c r="A2901" s="3" t="str">
        <f>HYPERLINK("http://www.ncbi.nlm.nih.gov/gene/5019","5019")</f>
        <v>5019</v>
      </c>
      <c r="B2901" s="1" t="s">
        <v>6838</v>
      </c>
      <c r="C2901" t="s">
        <v>6839</v>
      </c>
      <c r="D2901">
        <v>151.30000000000001</v>
      </c>
      <c r="E2901">
        <v>154.19999999999999</v>
      </c>
      <c r="F2901">
        <v>99.8</v>
      </c>
      <c r="G2901">
        <v>98.1</v>
      </c>
      <c r="H2901">
        <v>124.6</v>
      </c>
      <c r="I2901">
        <v>127.1</v>
      </c>
      <c r="J2901">
        <v>100</v>
      </c>
      <c r="K2901">
        <v>100</v>
      </c>
      <c r="L2901" s="1" t="s">
        <v>6838</v>
      </c>
      <c r="M2901" t="s">
        <v>1445</v>
      </c>
      <c r="N2901">
        <v>3</v>
      </c>
    </row>
    <row r="2902" spans="1:14" x14ac:dyDescent="0.25">
      <c r="A2902" s="3" t="str">
        <f>HYPERLINK("http://www.ncbi.nlm.nih.gov/gene/55074","55074")</f>
        <v>55074</v>
      </c>
      <c r="B2902" s="1" t="s">
        <v>6840</v>
      </c>
      <c r="C2902" t="s">
        <v>6841</v>
      </c>
      <c r="D2902">
        <v>122.2</v>
      </c>
      <c r="E2902">
        <v>123.6</v>
      </c>
      <c r="F2902">
        <v>99.4</v>
      </c>
      <c r="G2902">
        <v>97</v>
      </c>
      <c r="H2902">
        <v>125</v>
      </c>
      <c r="I2902">
        <v>127.5</v>
      </c>
      <c r="J2902">
        <v>100</v>
      </c>
      <c r="K2902">
        <v>100</v>
      </c>
      <c r="L2902" s="1" t="s">
        <v>6840</v>
      </c>
      <c r="M2902" t="s">
        <v>50</v>
      </c>
      <c r="N2902">
        <v>2</v>
      </c>
    </row>
    <row r="2903" spans="1:14" x14ac:dyDescent="0.25">
      <c r="A2903" s="3" t="str">
        <f>HYPERLINK("http://www.ncbi.nlm.nih.gov/gene/22953","22953")</f>
        <v>22953</v>
      </c>
      <c r="B2903" s="1" t="s">
        <v>6842</v>
      </c>
      <c r="C2903" t="s">
        <v>6843</v>
      </c>
      <c r="D2903">
        <v>191.9</v>
      </c>
      <c r="E2903">
        <v>186.6</v>
      </c>
      <c r="F2903">
        <v>100</v>
      </c>
      <c r="G2903">
        <v>100</v>
      </c>
      <c r="H2903">
        <v>155</v>
      </c>
      <c r="I2903">
        <v>158.19999999999999</v>
      </c>
      <c r="J2903">
        <v>100</v>
      </c>
      <c r="K2903">
        <v>100</v>
      </c>
      <c r="L2903" s="1" t="s">
        <v>6842</v>
      </c>
      <c r="M2903" t="s">
        <v>76</v>
      </c>
      <c r="N2903">
        <v>2</v>
      </c>
    </row>
    <row r="2904" spans="1:14" x14ac:dyDescent="0.25">
      <c r="A2904" s="3" t="str">
        <f>HYPERLINK("http://www.ncbi.nlm.nih.gov/gene/64805","64805")</f>
        <v>64805</v>
      </c>
      <c r="B2904" s="1" t="s">
        <v>6844</v>
      </c>
      <c r="C2904" t="s">
        <v>6845</v>
      </c>
      <c r="D2904">
        <v>243.2</v>
      </c>
      <c r="E2904">
        <v>243</v>
      </c>
      <c r="F2904">
        <v>100</v>
      </c>
      <c r="G2904">
        <v>100</v>
      </c>
      <c r="H2904">
        <v>136.30000000000001</v>
      </c>
      <c r="I2904">
        <v>135</v>
      </c>
      <c r="J2904">
        <v>100</v>
      </c>
      <c r="K2904">
        <v>100</v>
      </c>
      <c r="L2904" s="1" t="s">
        <v>6844</v>
      </c>
      <c r="M2904" t="s">
        <v>606</v>
      </c>
      <c r="N2904">
        <v>3</v>
      </c>
    </row>
    <row r="2905" spans="1:14" x14ac:dyDescent="0.25">
      <c r="A2905" s="3" t="str">
        <f>HYPERLINK("http://www.ncbi.nlm.nih.gov/gene/64175","64175")</f>
        <v>64175</v>
      </c>
      <c r="B2905" s="1" t="s">
        <v>6846</v>
      </c>
      <c r="C2905" t="s">
        <v>6847</v>
      </c>
      <c r="D2905">
        <v>138.6</v>
      </c>
      <c r="E2905">
        <v>137.19999999999999</v>
      </c>
      <c r="F2905">
        <v>100</v>
      </c>
      <c r="G2905">
        <v>100</v>
      </c>
      <c r="H2905">
        <v>144.69999999999999</v>
      </c>
      <c r="I2905">
        <v>147</v>
      </c>
      <c r="J2905">
        <v>100</v>
      </c>
      <c r="K2905">
        <v>100</v>
      </c>
      <c r="L2905" s="1" t="s">
        <v>6846</v>
      </c>
      <c r="M2905" t="s">
        <v>1168</v>
      </c>
      <c r="N2905">
        <v>3</v>
      </c>
    </row>
    <row r="2906" spans="1:14" x14ac:dyDescent="0.25">
      <c r="A2906" s="3" t="str">
        <f>HYPERLINK("http://www.ncbi.nlm.nih.gov/gene/55214","55214")</f>
        <v>55214</v>
      </c>
      <c r="B2906" s="1" t="s">
        <v>6848</v>
      </c>
      <c r="C2906" t="s">
        <v>6849</v>
      </c>
      <c r="D2906">
        <v>107.4</v>
      </c>
      <c r="E2906">
        <v>110.8</v>
      </c>
      <c r="F2906">
        <v>99.8</v>
      </c>
      <c r="G2906">
        <v>98</v>
      </c>
      <c r="H2906">
        <v>136.1</v>
      </c>
      <c r="I2906">
        <v>139.1</v>
      </c>
      <c r="J2906">
        <v>100</v>
      </c>
      <c r="K2906">
        <v>100</v>
      </c>
      <c r="L2906" s="1" t="s">
        <v>6848</v>
      </c>
      <c r="M2906" t="s">
        <v>56</v>
      </c>
      <c r="N2906">
        <v>3</v>
      </c>
    </row>
    <row r="2907" spans="1:14" x14ac:dyDescent="0.25">
      <c r="A2907" s="3" t="str">
        <f>HYPERLINK("http://www.ncbi.nlm.nih.gov/gene/8974","8974")</f>
        <v>8974</v>
      </c>
      <c r="B2907" s="1" t="s">
        <v>6850</v>
      </c>
      <c r="C2907" t="s">
        <v>6851</v>
      </c>
      <c r="D2907">
        <v>131.80000000000001</v>
      </c>
      <c r="E2907">
        <v>138.5</v>
      </c>
      <c r="F2907">
        <v>100</v>
      </c>
      <c r="G2907">
        <v>99.2</v>
      </c>
      <c r="H2907">
        <v>141</v>
      </c>
      <c r="I2907">
        <v>144.80000000000001</v>
      </c>
      <c r="J2907">
        <v>100</v>
      </c>
      <c r="K2907">
        <v>100</v>
      </c>
      <c r="L2907" s="1" t="s">
        <v>6850</v>
      </c>
      <c r="M2907" t="s">
        <v>302</v>
      </c>
      <c r="N2907">
        <v>2</v>
      </c>
    </row>
    <row r="2908" spans="1:14" x14ac:dyDescent="0.25">
      <c r="A2908" s="3" t="str">
        <f>HYPERLINK("http://www.ncbi.nlm.nih.gov/gene/5034","5034")</f>
        <v>5034</v>
      </c>
      <c r="B2908" s="1" t="s">
        <v>6852</v>
      </c>
      <c r="C2908" t="s">
        <v>6853</v>
      </c>
      <c r="D2908">
        <v>115</v>
      </c>
      <c r="E2908">
        <v>119</v>
      </c>
      <c r="F2908">
        <v>94.6</v>
      </c>
      <c r="G2908">
        <v>94</v>
      </c>
      <c r="H2908">
        <v>136.6</v>
      </c>
      <c r="I2908">
        <v>140</v>
      </c>
      <c r="J2908">
        <v>100</v>
      </c>
      <c r="K2908">
        <v>100</v>
      </c>
      <c r="L2908" s="1" t="s">
        <v>6852</v>
      </c>
      <c r="M2908" t="s">
        <v>3241</v>
      </c>
      <c r="N2908">
        <v>3</v>
      </c>
    </row>
    <row r="2909" spans="1:14" x14ac:dyDescent="0.25">
      <c r="A2909" s="3" t="str">
        <f>HYPERLINK("http://www.ncbi.nlm.nih.gov/gene/54681","54681")</f>
        <v>54681</v>
      </c>
      <c r="B2909" s="1" t="s">
        <v>6854</v>
      </c>
      <c r="C2909" t="s">
        <v>6855</v>
      </c>
      <c r="D2909">
        <v>146.9</v>
      </c>
      <c r="E2909">
        <v>155.19999999999999</v>
      </c>
      <c r="F2909">
        <v>99</v>
      </c>
      <c r="G2909">
        <v>97.4</v>
      </c>
      <c r="H2909">
        <v>133.4</v>
      </c>
      <c r="I2909">
        <v>138</v>
      </c>
      <c r="J2909">
        <v>100</v>
      </c>
      <c r="K2909">
        <v>99.4</v>
      </c>
      <c r="L2909" s="1" t="s">
        <v>6854</v>
      </c>
      <c r="M2909" t="s">
        <v>228</v>
      </c>
      <c r="N2909">
        <v>3</v>
      </c>
    </row>
    <row r="2910" spans="1:14" x14ac:dyDescent="0.25">
      <c r="A2910" s="3" t="str">
        <f>HYPERLINK("http://www.ncbi.nlm.nih.gov/gene/8106","8106")</f>
        <v>8106</v>
      </c>
      <c r="B2910" s="1" t="s">
        <v>6856</v>
      </c>
      <c r="C2910" t="s">
        <v>6857</v>
      </c>
      <c r="D2910">
        <v>92</v>
      </c>
      <c r="E2910">
        <v>91.8</v>
      </c>
      <c r="F2910">
        <v>66.3</v>
      </c>
      <c r="G2910">
        <v>56.9</v>
      </c>
      <c r="H2910">
        <v>120.1</v>
      </c>
      <c r="I2910">
        <v>125.7</v>
      </c>
      <c r="J2910">
        <v>100</v>
      </c>
      <c r="K2910">
        <v>99.1</v>
      </c>
      <c r="L2910" s="1" t="s">
        <v>6856</v>
      </c>
      <c r="M2910" t="s">
        <v>1435</v>
      </c>
      <c r="N2910">
        <v>2</v>
      </c>
    </row>
    <row r="2911" spans="1:14" x14ac:dyDescent="0.25">
      <c r="A2911" s="3" t="str">
        <f>HYPERLINK("http://www.ncbi.nlm.nih.gov/gene/55690","55690")</f>
        <v>55690</v>
      </c>
      <c r="B2911" s="1" t="s">
        <v>6858</v>
      </c>
      <c r="C2911" t="s">
        <v>6859</v>
      </c>
      <c r="D2911">
        <v>113</v>
      </c>
      <c r="E2911">
        <v>116.2</v>
      </c>
      <c r="F2911">
        <v>98.8</v>
      </c>
      <c r="G2911">
        <v>96.9</v>
      </c>
      <c r="H2911">
        <v>131.4</v>
      </c>
      <c r="I2911">
        <v>134.5</v>
      </c>
      <c r="J2911">
        <v>100</v>
      </c>
      <c r="K2911">
        <v>100</v>
      </c>
      <c r="L2911" s="1" t="s">
        <v>6858</v>
      </c>
      <c r="M2911" t="s">
        <v>995</v>
      </c>
      <c r="N2911">
        <v>3</v>
      </c>
    </row>
    <row r="2912" spans="1:14" x14ac:dyDescent="0.25">
      <c r="A2912" s="3" t="str">
        <f>HYPERLINK("http://www.ncbi.nlm.nih.gov/gene/23241","23241")</f>
        <v>23241</v>
      </c>
      <c r="B2912" s="1" t="s">
        <v>6860</v>
      </c>
      <c r="C2912" t="s">
        <v>6861</v>
      </c>
      <c r="D2912">
        <v>150.1</v>
      </c>
      <c r="E2912">
        <v>155.5</v>
      </c>
      <c r="F2912">
        <v>99.3</v>
      </c>
      <c r="G2912">
        <v>96.2</v>
      </c>
      <c r="H2912">
        <v>126.2</v>
      </c>
      <c r="I2912">
        <v>129.5</v>
      </c>
      <c r="J2912">
        <v>100</v>
      </c>
      <c r="K2912">
        <v>99.8</v>
      </c>
      <c r="L2912" s="1" t="s">
        <v>6860</v>
      </c>
      <c r="M2912" t="s">
        <v>877</v>
      </c>
      <c r="N2912">
        <v>4</v>
      </c>
    </row>
    <row r="2913" spans="1:14" x14ac:dyDescent="0.25">
      <c r="A2913" s="3" t="str">
        <f>HYPERLINK("http://www.ncbi.nlm.nih.gov/gene/51702","51702")</f>
        <v>51702</v>
      </c>
      <c r="B2913" s="1" t="s">
        <v>6862</v>
      </c>
      <c r="C2913" t="s">
        <v>6863</v>
      </c>
      <c r="D2913">
        <v>140.80000000000001</v>
      </c>
      <c r="E2913">
        <v>147.1</v>
      </c>
      <c r="F2913">
        <v>100</v>
      </c>
      <c r="G2913">
        <v>100</v>
      </c>
      <c r="H2913">
        <v>138.4</v>
      </c>
      <c r="I2913">
        <v>141.9</v>
      </c>
      <c r="J2913">
        <v>100</v>
      </c>
      <c r="K2913">
        <v>100</v>
      </c>
      <c r="L2913" s="1" t="s">
        <v>6862</v>
      </c>
      <c r="M2913" t="s">
        <v>47</v>
      </c>
      <c r="N2913">
        <v>2</v>
      </c>
    </row>
    <row r="2914" spans="1:14" x14ac:dyDescent="0.25">
      <c r="A2914" s="3" t="str">
        <f>HYPERLINK("http://www.ncbi.nlm.nih.gov/gene/353238","353238")</f>
        <v>353238</v>
      </c>
      <c r="B2914" s="1" t="s">
        <v>6864</v>
      </c>
      <c r="C2914" t="s">
        <v>6865</v>
      </c>
      <c r="D2914">
        <v>106.7</v>
      </c>
      <c r="E2914">
        <v>111.7</v>
      </c>
      <c r="F2914">
        <v>100</v>
      </c>
      <c r="G2914">
        <v>99.6</v>
      </c>
      <c r="H2914">
        <v>122</v>
      </c>
      <c r="I2914">
        <v>126.2</v>
      </c>
      <c r="J2914">
        <v>100</v>
      </c>
      <c r="K2914">
        <v>100</v>
      </c>
      <c r="L2914" s="1" t="s">
        <v>6864</v>
      </c>
      <c r="M2914" t="s">
        <v>59</v>
      </c>
      <c r="N2914">
        <v>1</v>
      </c>
    </row>
    <row r="2915" spans="1:14" x14ac:dyDescent="0.25">
      <c r="A2915" s="3" t="str">
        <f>HYPERLINK("http://www.ncbi.nlm.nih.gov/gene/5048","5048")</f>
        <v>5048</v>
      </c>
      <c r="B2915" s="1" t="s">
        <v>6866</v>
      </c>
      <c r="C2915" t="s">
        <v>6867</v>
      </c>
      <c r="D2915">
        <v>100.7</v>
      </c>
      <c r="E2915">
        <v>102.1</v>
      </c>
      <c r="F2915">
        <v>94.1</v>
      </c>
      <c r="G2915">
        <v>87.1</v>
      </c>
      <c r="H2915">
        <v>132.5</v>
      </c>
      <c r="I2915">
        <v>136.19999999999999</v>
      </c>
      <c r="J2915">
        <v>100</v>
      </c>
      <c r="K2915">
        <v>100</v>
      </c>
      <c r="L2915" s="1" t="s">
        <v>6866</v>
      </c>
      <c r="M2915" t="s">
        <v>995</v>
      </c>
      <c r="N2915">
        <v>3</v>
      </c>
    </row>
    <row r="2916" spans="1:14" x14ac:dyDescent="0.25">
      <c r="A2916" s="3" t="str">
        <f>HYPERLINK("http://www.ncbi.nlm.nih.gov/gene/5053","5053")</f>
        <v>5053</v>
      </c>
      <c r="B2916" s="1" t="s">
        <v>6868</v>
      </c>
      <c r="C2916" t="s">
        <v>6869</v>
      </c>
      <c r="D2916">
        <v>154.5</v>
      </c>
      <c r="E2916">
        <v>157.4</v>
      </c>
      <c r="F2916">
        <v>100</v>
      </c>
      <c r="G2916">
        <v>100</v>
      </c>
      <c r="H2916">
        <v>132.1</v>
      </c>
      <c r="I2916">
        <v>135.5</v>
      </c>
      <c r="J2916">
        <v>100</v>
      </c>
      <c r="K2916">
        <v>100</v>
      </c>
      <c r="L2916" s="1" t="s">
        <v>6868</v>
      </c>
      <c r="M2916" t="s">
        <v>110</v>
      </c>
      <c r="N2916">
        <v>5</v>
      </c>
    </row>
    <row r="2917" spans="1:14" x14ac:dyDescent="0.25">
      <c r="A2917" s="3" t="str">
        <f>HYPERLINK("http://www.ncbi.nlm.nih.gov/gene/5058","5058")</f>
        <v>5058</v>
      </c>
      <c r="B2917" s="1" t="s">
        <v>6870</v>
      </c>
      <c r="C2917" t="s">
        <v>6871</v>
      </c>
      <c r="D2917">
        <v>128.80000000000001</v>
      </c>
      <c r="E2917">
        <v>133.30000000000001</v>
      </c>
      <c r="F2917">
        <v>100</v>
      </c>
      <c r="G2917">
        <v>99.6</v>
      </c>
      <c r="H2917">
        <v>136.4</v>
      </c>
      <c r="I2917">
        <v>140.5</v>
      </c>
      <c r="J2917">
        <v>100</v>
      </c>
      <c r="K2917">
        <v>100</v>
      </c>
      <c r="L2917" s="1" t="s">
        <v>6870</v>
      </c>
      <c r="M2917" t="s">
        <v>189</v>
      </c>
      <c r="N2917">
        <v>2</v>
      </c>
    </row>
    <row r="2918" spans="1:14" x14ac:dyDescent="0.25">
      <c r="A2918" s="3" t="str">
        <f>HYPERLINK("http://www.ncbi.nlm.nih.gov/gene/5063","5063")</f>
        <v>5063</v>
      </c>
      <c r="B2918" s="1" t="s">
        <v>6872</v>
      </c>
      <c r="C2918" t="s">
        <v>6873</v>
      </c>
      <c r="D2918">
        <v>92.8</v>
      </c>
      <c r="E2918">
        <v>95.4</v>
      </c>
      <c r="F2918">
        <v>99.3</v>
      </c>
      <c r="G2918">
        <v>95.9</v>
      </c>
      <c r="H2918">
        <v>115.3</v>
      </c>
      <c r="I2918">
        <v>118.4</v>
      </c>
      <c r="J2918">
        <v>100</v>
      </c>
      <c r="K2918">
        <v>99.8</v>
      </c>
      <c r="L2918" s="1" t="s">
        <v>6872</v>
      </c>
      <c r="M2918" t="s">
        <v>6874</v>
      </c>
      <c r="N2918">
        <v>3</v>
      </c>
    </row>
    <row r="2919" spans="1:14" x14ac:dyDescent="0.25">
      <c r="A2919" s="3" t="str">
        <f>HYPERLINK("http://www.ncbi.nlm.nih.gov/gene/79728","79728")</f>
        <v>79728</v>
      </c>
      <c r="B2919" s="1" t="s">
        <v>6875</v>
      </c>
      <c r="C2919" t="s">
        <v>6876</v>
      </c>
      <c r="D2919">
        <v>179.8</v>
      </c>
      <c r="E2919">
        <v>182.1</v>
      </c>
      <c r="F2919">
        <v>100</v>
      </c>
      <c r="G2919">
        <v>100</v>
      </c>
      <c r="H2919">
        <v>139.69999999999999</v>
      </c>
      <c r="I2919">
        <v>140.1</v>
      </c>
      <c r="J2919">
        <v>100</v>
      </c>
      <c r="K2919">
        <v>100</v>
      </c>
      <c r="L2919" s="1" t="s">
        <v>6875</v>
      </c>
      <c r="M2919" t="s">
        <v>6877</v>
      </c>
      <c r="N2919">
        <v>6</v>
      </c>
    </row>
    <row r="2920" spans="1:14" x14ac:dyDescent="0.25">
      <c r="A2920" s="3" t="str">
        <f>HYPERLINK("http://www.ncbi.nlm.nih.gov/gene/51025","51025")</f>
        <v>51025</v>
      </c>
      <c r="B2920" s="1" t="s">
        <v>6878</v>
      </c>
      <c r="C2920" t="s">
        <v>6879</v>
      </c>
      <c r="D2920">
        <v>62.2</v>
      </c>
      <c r="E2920">
        <v>63.8</v>
      </c>
      <c r="F2920">
        <v>65.3</v>
      </c>
      <c r="G2920">
        <v>65.2</v>
      </c>
      <c r="H2920">
        <v>130.6</v>
      </c>
      <c r="I2920">
        <v>132.30000000000001</v>
      </c>
      <c r="J2920">
        <v>82.9</v>
      </c>
      <c r="K2920">
        <v>82.9</v>
      </c>
      <c r="L2920" s="1" t="s">
        <v>6878</v>
      </c>
      <c r="M2920" t="s">
        <v>1168</v>
      </c>
      <c r="N2920">
        <v>3</v>
      </c>
    </row>
    <row r="2921" spans="1:14" x14ac:dyDescent="0.25">
      <c r="A2921" s="3" t="str">
        <f>HYPERLINK("http://www.ncbi.nlm.nih.gov/gene/80025","80025")</f>
        <v>80025</v>
      </c>
      <c r="B2921" s="1" t="s">
        <v>6880</v>
      </c>
      <c r="C2921" t="s">
        <v>6881</v>
      </c>
      <c r="D2921">
        <v>180.5</v>
      </c>
      <c r="E2921">
        <v>185.6</v>
      </c>
      <c r="F2921">
        <v>100</v>
      </c>
      <c r="G2921">
        <v>99.3</v>
      </c>
      <c r="H2921">
        <v>137.30000000000001</v>
      </c>
      <c r="I2921">
        <v>137.19999999999999</v>
      </c>
      <c r="J2921">
        <v>100</v>
      </c>
      <c r="K2921">
        <v>100</v>
      </c>
      <c r="L2921" s="1" t="s">
        <v>6880</v>
      </c>
      <c r="M2921" t="s">
        <v>6882</v>
      </c>
      <c r="N2921">
        <v>8</v>
      </c>
    </row>
    <row r="2922" spans="1:14" x14ac:dyDescent="0.25">
      <c r="A2922" s="3" t="str">
        <f>HYPERLINK("http://www.ncbi.nlm.nih.gov/gene/24145","24145")</f>
        <v>24145</v>
      </c>
      <c r="B2922" s="1" t="s">
        <v>6883</v>
      </c>
      <c r="C2922" t="s">
        <v>6884</v>
      </c>
      <c r="D2922">
        <v>142.30000000000001</v>
      </c>
      <c r="E2922">
        <v>148.9</v>
      </c>
      <c r="F2922">
        <v>100</v>
      </c>
      <c r="G2922">
        <v>100</v>
      </c>
      <c r="H2922">
        <v>136.9</v>
      </c>
      <c r="I2922">
        <v>138.1</v>
      </c>
      <c r="J2922">
        <v>100</v>
      </c>
      <c r="K2922">
        <v>100</v>
      </c>
      <c r="L2922" s="1" t="s">
        <v>6883</v>
      </c>
      <c r="M2922" t="s">
        <v>6885</v>
      </c>
      <c r="N2922">
        <v>2</v>
      </c>
    </row>
    <row r="2923" spans="1:14" x14ac:dyDescent="0.25">
      <c r="A2923" s="3" t="str">
        <f>HYPERLINK("http://www.ncbi.nlm.nih.gov/gene/60676","60676")</f>
        <v>60676</v>
      </c>
      <c r="B2923" s="1" t="s">
        <v>6886</v>
      </c>
      <c r="C2923" t="s">
        <v>6887</v>
      </c>
      <c r="D2923">
        <v>151.1</v>
      </c>
      <c r="E2923">
        <v>154.80000000000001</v>
      </c>
      <c r="F2923">
        <v>100</v>
      </c>
      <c r="G2923">
        <v>99.9</v>
      </c>
      <c r="H2923">
        <v>154.19999999999999</v>
      </c>
      <c r="I2923">
        <v>157.4</v>
      </c>
      <c r="J2923">
        <v>100</v>
      </c>
      <c r="K2923">
        <v>100</v>
      </c>
      <c r="L2923" s="1" t="s">
        <v>6886</v>
      </c>
      <c r="M2923" t="s">
        <v>1487</v>
      </c>
      <c r="N2923">
        <v>2</v>
      </c>
    </row>
    <row r="2924" spans="1:14" x14ac:dyDescent="0.25">
      <c r="A2924" s="3" t="str">
        <f>HYPERLINK("http://www.ncbi.nlm.nih.gov/gene/9060","9060")</f>
        <v>9060</v>
      </c>
      <c r="B2924" s="1" t="s">
        <v>6888</v>
      </c>
      <c r="C2924" t="s">
        <v>6889</v>
      </c>
      <c r="D2924">
        <v>120.2</v>
      </c>
      <c r="E2924">
        <v>125.9</v>
      </c>
      <c r="F2924">
        <v>100</v>
      </c>
      <c r="G2924">
        <v>99.5</v>
      </c>
      <c r="H2924">
        <v>131.69999999999999</v>
      </c>
      <c r="I2924">
        <v>136.19999999999999</v>
      </c>
      <c r="J2924">
        <v>100</v>
      </c>
      <c r="K2924">
        <v>100</v>
      </c>
      <c r="L2924" s="1" t="s">
        <v>6888</v>
      </c>
      <c r="M2924" t="s">
        <v>1168</v>
      </c>
      <c r="N2924">
        <v>3</v>
      </c>
    </row>
    <row r="2925" spans="1:14" x14ac:dyDescent="0.25">
      <c r="A2925" s="3" t="str">
        <f>HYPERLINK("http://www.ncbi.nlm.nih.gov/gene/11315","11315")</f>
        <v>11315</v>
      </c>
      <c r="B2925" s="1" t="s">
        <v>6890</v>
      </c>
      <c r="C2925" t="s">
        <v>6891</v>
      </c>
      <c r="D2925">
        <v>107.2</v>
      </c>
      <c r="E2925">
        <v>110.5</v>
      </c>
      <c r="F2925">
        <v>100</v>
      </c>
      <c r="G2925">
        <v>100</v>
      </c>
      <c r="H2925">
        <v>120.1</v>
      </c>
      <c r="I2925">
        <v>122.9</v>
      </c>
      <c r="J2925">
        <v>100</v>
      </c>
      <c r="K2925">
        <v>100</v>
      </c>
      <c r="L2925" s="1" t="s">
        <v>6890</v>
      </c>
      <c r="M2925" t="s">
        <v>2823</v>
      </c>
      <c r="N2925">
        <v>3</v>
      </c>
    </row>
    <row r="2926" spans="1:14" x14ac:dyDescent="0.25">
      <c r="A2926" s="3" t="str">
        <f>HYPERLINK("http://www.ncbi.nlm.nih.gov/gene/5073","5073")</f>
        <v>5073</v>
      </c>
      <c r="B2926" s="1" t="s">
        <v>6892</v>
      </c>
      <c r="C2926" t="s">
        <v>6893</v>
      </c>
      <c r="D2926">
        <v>131.1</v>
      </c>
      <c r="E2926">
        <v>134.19999999999999</v>
      </c>
      <c r="F2926">
        <v>81.2</v>
      </c>
      <c r="G2926">
        <v>81.099999999999994</v>
      </c>
      <c r="H2926">
        <v>154.1</v>
      </c>
      <c r="I2926">
        <v>157.4</v>
      </c>
      <c r="J2926">
        <v>88.1</v>
      </c>
      <c r="K2926">
        <v>87.6</v>
      </c>
      <c r="L2926" s="1" t="s">
        <v>6892</v>
      </c>
      <c r="M2926" t="s">
        <v>6894</v>
      </c>
      <c r="N2926">
        <v>7</v>
      </c>
    </row>
    <row r="2927" spans="1:14" x14ac:dyDescent="0.25">
      <c r="A2927" s="3" t="str">
        <f>HYPERLINK("http://www.ncbi.nlm.nih.gov/gene/142","142")</f>
        <v>142</v>
      </c>
      <c r="B2927" s="1" t="s">
        <v>6895</v>
      </c>
      <c r="C2927" t="s">
        <v>6896</v>
      </c>
      <c r="D2927">
        <v>99.4</v>
      </c>
      <c r="E2927">
        <v>102.6</v>
      </c>
      <c r="F2927">
        <v>100</v>
      </c>
      <c r="G2927">
        <v>99.5</v>
      </c>
      <c r="H2927">
        <v>135</v>
      </c>
      <c r="I2927">
        <v>138.9</v>
      </c>
      <c r="J2927">
        <v>100</v>
      </c>
      <c r="K2927">
        <v>100</v>
      </c>
      <c r="L2927" s="1" t="s">
        <v>6895</v>
      </c>
      <c r="M2927" t="s">
        <v>1462</v>
      </c>
      <c r="N2927">
        <v>2</v>
      </c>
    </row>
    <row r="2928" spans="1:14" x14ac:dyDescent="0.25">
      <c r="A2928" s="3" t="str">
        <f>HYPERLINK("http://www.ncbi.nlm.nih.gov/gene/25973","25973")</f>
        <v>25973</v>
      </c>
      <c r="B2928" s="1" t="s">
        <v>6897</v>
      </c>
      <c r="C2928" t="s">
        <v>6898</v>
      </c>
      <c r="D2928">
        <v>191.5</v>
      </c>
      <c r="E2928">
        <v>188.8</v>
      </c>
      <c r="F2928">
        <v>100</v>
      </c>
      <c r="G2928">
        <v>100</v>
      </c>
      <c r="H2928">
        <v>154.4</v>
      </c>
      <c r="I2928">
        <v>154.6</v>
      </c>
      <c r="J2928">
        <v>100</v>
      </c>
      <c r="K2928">
        <v>100</v>
      </c>
      <c r="L2928" s="1" t="s">
        <v>6897</v>
      </c>
      <c r="M2928" t="s">
        <v>766</v>
      </c>
      <c r="N2928">
        <v>3</v>
      </c>
    </row>
    <row r="2929" spans="1:14" x14ac:dyDescent="0.25">
      <c r="A2929" s="3" t="str">
        <f>HYPERLINK("http://www.ncbi.nlm.nih.gov/gene/197135","197135")</f>
        <v>197135</v>
      </c>
      <c r="B2929" s="1" t="s">
        <v>6899</v>
      </c>
      <c r="C2929" t="s">
        <v>6900</v>
      </c>
      <c r="D2929">
        <v>102.1</v>
      </c>
      <c r="E2929">
        <v>104.5</v>
      </c>
      <c r="F2929">
        <v>100</v>
      </c>
      <c r="G2929">
        <v>99</v>
      </c>
      <c r="H2929">
        <v>140.9</v>
      </c>
      <c r="I2929">
        <v>144.1</v>
      </c>
      <c r="J2929">
        <v>100</v>
      </c>
      <c r="K2929">
        <v>100</v>
      </c>
      <c r="L2929" s="1" t="s">
        <v>6899</v>
      </c>
      <c r="M2929" t="s">
        <v>53</v>
      </c>
      <c r="N2929">
        <v>2</v>
      </c>
    </row>
    <row r="2930" spans="1:14" x14ac:dyDescent="0.25">
      <c r="A2930" s="3" t="str">
        <f>HYPERLINK("http://www.ncbi.nlm.nih.gov/gene/5075","5075")</f>
        <v>5075</v>
      </c>
      <c r="B2930" s="1" t="s">
        <v>6901</v>
      </c>
      <c r="C2930" t="s">
        <v>6902</v>
      </c>
      <c r="D2930">
        <v>155.80000000000001</v>
      </c>
      <c r="E2930">
        <v>165.8</v>
      </c>
      <c r="F2930">
        <v>92.4</v>
      </c>
      <c r="G2930">
        <v>87.9</v>
      </c>
      <c r="H2930">
        <v>140.4</v>
      </c>
      <c r="I2930">
        <v>146.6</v>
      </c>
      <c r="J2930">
        <v>100</v>
      </c>
      <c r="K2930">
        <v>99.6</v>
      </c>
      <c r="L2930" s="1" t="s">
        <v>6901</v>
      </c>
      <c r="M2930" t="s">
        <v>6903</v>
      </c>
      <c r="N2930">
        <v>5</v>
      </c>
    </row>
    <row r="2931" spans="1:14" x14ac:dyDescent="0.25">
      <c r="A2931" s="3" t="str">
        <f>HYPERLINK("http://www.ncbi.nlm.nih.gov/gene/5076","5076")</f>
        <v>5076</v>
      </c>
      <c r="B2931" s="1" t="s">
        <v>6904</v>
      </c>
      <c r="C2931" t="s">
        <v>6905</v>
      </c>
      <c r="D2931">
        <v>196.8</v>
      </c>
      <c r="E2931">
        <v>201.8</v>
      </c>
      <c r="F2931">
        <v>100</v>
      </c>
      <c r="G2931">
        <v>99.9</v>
      </c>
      <c r="H2931">
        <v>145.80000000000001</v>
      </c>
      <c r="I2931">
        <v>149.6</v>
      </c>
      <c r="J2931">
        <v>100</v>
      </c>
      <c r="K2931">
        <v>100</v>
      </c>
      <c r="L2931" s="1" t="s">
        <v>6904</v>
      </c>
      <c r="M2931" t="s">
        <v>6906</v>
      </c>
      <c r="N2931">
        <v>3</v>
      </c>
    </row>
    <row r="2932" spans="1:14" x14ac:dyDescent="0.25">
      <c r="A2932" s="3" t="str">
        <f>HYPERLINK("http://www.ncbi.nlm.nih.gov/gene/5077","5077")</f>
        <v>5077</v>
      </c>
      <c r="B2932" s="1" t="s">
        <v>6907</v>
      </c>
      <c r="C2932" t="s">
        <v>6908</v>
      </c>
      <c r="D2932">
        <v>108.3</v>
      </c>
      <c r="E2932">
        <v>114.5</v>
      </c>
      <c r="F2932">
        <v>100</v>
      </c>
      <c r="G2932">
        <v>99.9</v>
      </c>
      <c r="H2932">
        <v>146</v>
      </c>
      <c r="I2932">
        <v>151.19999999999999</v>
      </c>
      <c r="J2932">
        <v>100</v>
      </c>
      <c r="K2932">
        <v>100</v>
      </c>
      <c r="L2932" s="1" t="s">
        <v>6907</v>
      </c>
      <c r="M2932" t="s">
        <v>6909</v>
      </c>
      <c r="N2932">
        <v>7</v>
      </c>
    </row>
    <row r="2933" spans="1:14" x14ac:dyDescent="0.25">
      <c r="A2933" s="3" t="str">
        <f>HYPERLINK("http://www.ncbi.nlm.nih.gov/gene/5078","5078")</f>
        <v>5078</v>
      </c>
      <c r="B2933" s="1" t="s">
        <v>6910</v>
      </c>
      <c r="C2933" t="s">
        <v>6911</v>
      </c>
      <c r="D2933">
        <v>85.1</v>
      </c>
      <c r="E2933">
        <v>86.8</v>
      </c>
      <c r="F2933">
        <v>100</v>
      </c>
      <c r="G2933">
        <v>99.8</v>
      </c>
      <c r="H2933">
        <v>154.19999999999999</v>
      </c>
      <c r="I2933">
        <v>158</v>
      </c>
      <c r="J2933">
        <v>100</v>
      </c>
      <c r="K2933">
        <v>100</v>
      </c>
      <c r="L2933" s="1" t="s">
        <v>6910</v>
      </c>
      <c r="M2933" t="s">
        <v>285</v>
      </c>
      <c r="N2933">
        <v>1</v>
      </c>
    </row>
    <row r="2934" spans="1:14" x14ac:dyDescent="0.25">
      <c r="A2934" s="3" t="str">
        <f>HYPERLINK("http://www.ncbi.nlm.nih.gov/gene/5079","5079")</f>
        <v>5079</v>
      </c>
      <c r="B2934" s="1" t="s">
        <v>6912</v>
      </c>
      <c r="C2934" t="s">
        <v>6913</v>
      </c>
      <c r="D2934">
        <v>111.2</v>
      </c>
      <c r="E2934">
        <v>115</v>
      </c>
      <c r="F2934">
        <v>98.7</v>
      </c>
      <c r="G2934">
        <v>96.1</v>
      </c>
      <c r="H2934">
        <v>147.5</v>
      </c>
      <c r="I2934">
        <v>151.6</v>
      </c>
      <c r="J2934">
        <v>100</v>
      </c>
      <c r="K2934">
        <v>100</v>
      </c>
      <c r="L2934" s="1" t="s">
        <v>6912</v>
      </c>
      <c r="M2934" t="s">
        <v>3108</v>
      </c>
      <c r="N2934">
        <v>4</v>
      </c>
    </row>
    <row r="2935" spans="1:14" x14ac:dyDescent="0.25">
      <c r="A2935" s="3" t="str">
        <f>HYPERLINK("http://www.ncbi.nlm.nih.gov/gene/5080","5080")</f>
        <v>5080</v>
      </c>
      <c r="B2935" s="1" t="s">
        <v>6914</v>
      </c>
      <c r="C2935" t="s">
        <v>6915</v>
      </c>
      <c r="D2935">
        <v>138.6</v>
      </c>
      <c r="E2935">
        <v>141.4</v>
      </c>
      <c r="F2935">
        <v>100</v>
      </c>
      <c r="G2935">
        <v>100</v>
      </c>
      <c r="H2935">
        <v>148.80000000000001</v>
      </c>
      <c r="I2935">
        <v>153.30000000000001</v>
      </c>
      <c r="J2935">
        <v>100</v>
      </c>
      <c r="K2935">
        <v>100</v>
      </c>
      <c r="L2935" s="1" t="s">
        <v>6914</v>
      </c>
      <c r="M2935" t="s">
        <v>6916</v>
      </c>
      <c r="N2935">
        <v>5</v>
      </c>
    </row>
    <row r="2936" spans="1:14" x14ac:dyDescent="0.25">
      <c r="A2936" s="3" t="str">
        <f>HYPERLINK("http://www.ncbi.nlm.nih.gov/gene/5081","5081")</f>
        <v>5081</v>
      </c>
      <c r="B2936" s="1" t="s">
        <v>6917</v>
      </c>
      <c r="C2936" t="s">
        <v>6918</v>
      </c>
      <c r="D2936">
        <v>131.19999999999999</v>
      </c>
      <c r="E2936">
        <v>135.1</v>
      </c>
      <c r="F2936">
        <v>100</v>
      </c>
      <c r="G2936">
        <v>100</v>
      </c>
      <c r="H2936">
        <v>166.4</v>
      </c>
      <c r="I2936">
        <v>172.2</v>
      </c>
      <c r="J2936">
        <v>100</v>
      </c>
      <c r="K2936">
        <v>100</v>
      </c>
      <c r="L2936" s="1" t="s">
        <v>6917</v>
      </c>
      <c r="M2936" t="s">
        <v>6919</v>
      </c>
      <c r="N2936">
        <v>4</v>
      </c>
    </row>
    <row r="2937" spans="1:14" x14ac:dyDescent="0.25">
      <c r="A2937" s="3" t="str">
        <f>HYPERLINK("http://www.ncbi.nlm.nih.gov/gene/7849","7849")</f>
        <v>7849</v>
      </c>
      <c r="B2937" s="1" t="s">
        <v>6920</v>
      </c>
      <c r="D2937">
        <v>99.2</v>
      </c>
      <c r="E2937">
        <v>101.7</v>
      </c>
      <c r="F2937">
        <v>100</v>
      </c>
      <c r="G2937">
        <v>99.8</v>
      </c>
      <c r="H2937">
        <v>141.4</v>
      </c>
      <c r="I2937">
        <v>145.1</v>
      </c>
      <c r="J2937">
        <v>100</v>
      </c>
      <c r="K2937">
        <v>100</v>
      </c>
      <c r="L2937" s="1" t="s">
        <v>6920</v>
      </c>
      <c r="M2937" t="s">
        <v>189</v>
      </c>
      <c r="N2937">
        <v>2</v>
      </c>
    </row>
    <row r="2938" spans="1:14" x14ac:dyDescent="0.25">
      <c r="A2938" s="3" t="str">
        <f>HYPERLINK("http://www.ncbi.nlm.nih.gov/gene/5083","5083")</f>
        <v>5083</v>
      </c>
      <c r="B2938" s="1" t="s">
        <v>6921</v>
      </c>
      <c r="C2938" t="s">
        <v>6922</v>
      </c>
      <c r="D2938">
        <v>207.1</v>
      </c>
      <c r="E2938">
        <v>210.3</v>
      </c>
      <c r="F2938">
        <v>99.7</v>
      </c>
      <c r="G2938">
        <v>99.6</v>
      </c>
      <c r="H2938">
        <v>172.5</v>
      </c>
      <c r="I2938">
        <v>180.5</v>
      </c>
      <c r="J2938">
        <v>100</v>
      </c>
      <c r="K2938">
        <v>100</v>
      </c>
      <c r="L2938" s="1" t="s">
        <v>6921</v>
      </c>
      <c r="M2938" t="s">
        <v>5063</v>
      </c>
      <c r="N2938">
        <v>3</v>
      </c>
    </row>
    <row r="2939" spans="1:14" x14ac:dyDescent="0.25">
      <c r="A2939" s="3" t="str">
        <f>HYPERLINK("http://www.ncbi.nlm.nih.gov/gene/5087","5087")</f>
        <v>5087</v>
      </c>
      <c r="B2939" s="1" t="s">
        <v>6923</v>
      </c>
      <c r="C2939" t="s">
        <v>6924</v>
      </c>
      <c r="D2939">
        <v>142.69999999999999</v>
      </c>
      <c r="E2939">
        <v>146.9</v>
      </c>
      <c r="F2939">
        <v>100</v>
      </c>
      <c r="G2939">
        <v>99.4</v>
      </c>
      <c r="H2939">
        <v>143</v>
      </c>
      <c r="I2939">
        <v>148.6</v>
      </c>
      <c r="J2939">
        <v>100</v>
      </c>
      <c r="K2939">
        <v>100</v>
      </c>
      <c r="L2939" s="1" t="s">
        <v>6923</v>
      </c>
      <c r="M2939" t="s">
        <v>6925</v>
      </c>
      <c r="N2939">
        <v>5</v>
      </c>
    </row>
    <row r="2940" spans="1:14" x14ac:dyDescent="0.25">
      <c r="A2940" s="3" t="str">
        <f>HYPERLINK("http://www.ncbi.nlm.nih.gov/gene/5091","5091")</f>
        <v>5091</v>
      </c>
      <c r="B2940" s="1" t="s">
        <v>6926</v>
      </c>
      <c r="C2940" t="s">
        <v>6927</v>
      </c>
      <c r="D2940">
        <v>157.5</v>
      </c>
      <c r="E2940">
        <v>161.80000000000001</v>
      </c>
      <c r="F2940">
        <v>99.8</v>
      </c>
      <c r="G2940">
        <v>97.3</v>
      </c>
      <c r="H2940">
        <v>145.5</v>
      </c>
      <c r="I2940">
        <v>150.4</v>
      </c>
      <c r="J2940">
        <v>100</v>
      </c>
      <c r="K2940">
        <v>100</v>
      </c>
      <c r="L2940" s="1" t="s">
        <v>6926</v>
      </c>
      <c r="M2940" t="s">
        <v>41</v>
      </c>
      <c r="N2940">
        <v>6</v>
      </c>
    </row>
    <row r="2941" spans="1:14" x14ac:dyDescent="0.25">
      <c r="A2941" s="3" t="str">
        <f>HYPERLINK("http://www.ncbi.nlm.nih.gov/gene/388939","388939")</f>
        <v>388939</v>
      </c>
      <c r="B2941" s="1" t="s">
        <v>6928</v>
      </c>
      <c r="C2941" t="s">
        <v>6929</v>
      </c>
      <c r="D2941">
        <v>133.30000000000001</v>
      </c>
      <c r="E2941">
        <v>124.3</v>
      </c>
      <c r="F2941">
        <v>99.6</v>
      </c>
      <c r="G2941">
        <v>98.5</v>
      </c>
      <c r="H2941">
        <v>151.4</v>
      </c>
      <c r="I2941">
        <v>151.9</v>
      </c>
      <c r="J2941">
        <v>100</v>
      </c>
      <c r="K2941">
        <v>100</v>
      </c>
      <c r="L2941" s="1" t="s">
        <v>6928</v>
      </c>
      <c r="M2941" t="s">
        <v>2014</v>
      </c>
      <c r="N2941">
        <v>3</v>
      </c>
    </row>
    <row r="2942" spans="1:14" x14ac:dyDescent="0.25">
      <c r="A2942" s="3" t="str">
        <f>HYPERLINK("http://www.ncbi.nlm.nih.gov/gene/5092","5092")</f>
        <v>5092</v>
      </c>
      <c r="B2942" s="1" t="s">
        <v>6930</v>
      </c>
      <c r="C2942" t="s">
        <v>6931</v>
      </c>
      <c r="D2942">
        <v>108.7</v>
      </c>
      <c r="E2942">
        <v>112.5</v>
      </c>
      <c r="F2942">
        <v>100</v>
      </c>
      <c r="G2942">
        <v>99.6</v>
      </c>
      <c r="H2942">
        <v>131.1</v>
      </c>
      <c r="I2942">
        <v>134.4</v>
      </c>
      <c r="J2942">
        <v>100</v>
      </c>
      <c r="K2942">
        <v>99.7</v>
      </c>
      <c r="L2942" s="1" t="s">
        <v>6930</v>
      </c>
      <c r="M2942" t="s">
        <v>365</v>
      </c>
      <c r="N2942">
        <v>4</v>
      </c>
    </row>
    <row r="2943" spans="1:14" x14ac:dyDescent="0.25">
      <c r="A2943" s="3" t="str">
        <f>HYPERLINK("http://www.ncbi.nlm.nih.gov/gene/5095","5095")</f>
        <v>5095</v>
      </c>
      <c r="B2943" s="1" t="s">
        <v>6932</v>
      </c>
      <c r="D2943">
        <v>113.2</v>
      </c>
      <c r="E2943">
        <v>115.9</v>
      </c>
      <c r="F2943">
        <v>99.5</v>
      </c>
      <c r="G2943">
        <v>96.7</v>
      </c>
      <c r="H2943">
        <v>123.3</v>
      </c>
      <c r="I2943">
        <v>126</v>
      </c>
      <c r="J2943">
        <v>100</v>
      </c>
      <c r="K2943">
        <v>100</v>
      </c>
      <c r="L2943" s="1" t="s">
        <v>6932</v>
      </c>
      <c r="M2943" t="s">
        <v>6933</v>
      </c>
      <c r="N2943">
        <v>6</v>
      </c>
    </row>
    <row r="2944" spans="1:14" x14ac:dyDescent="0.25">
      <c r="A2944" s="3" t="str">
        <f>HYPERLINK("http://www.ncbi.nlm.nih.gov/gene/5096","5096")</f>
        <v>5096</v>
      </c>
      <c r="B2944" s="1" t="s">
        <v>6934</v>
      </c>
      <c r="D2944">
        <v>130.1</v>
      </c>
      <c r="E2944">
        <v>133.19999999999999</v>
      </c>
      <c r="F2944">
        <v>97.9</v>
      </c>
      <c r="G2944">
        <v>96</v>
      </c>
      <c r="H2944">
        <v>119.6</v>
      </c>
      <c r="I2944">
        <v>122.2</v>
      </c>
      <c r="J2944">
        <v>98.7</v>
      </c>
      <c r="K2944">
        <v>96.2</v>
      </c>
      <c r="L2944" s="1" t="s">
        <v>6934</v>
      </c>
      <c r="M2944" t="s">
        <v>6933</v>
      </c>
      <c r="N2944">
        <v>6</v>
      </c>
    </row>
    <row r="2945" spans="1:14" x14ac:dyDescent="0.25">
      <c r="A2945" s="3" t="str">
        <f>HYPERLINK("http://www.ncbi.nlm.nih.gov/gene/51294","51294")</f>
        <v>51294</v>
      </c>
      <c r="B2945" s="1" t="s">
        <v>6935</v>
      </c>
      <c r="C2945" t="s">
        <v>6936</v>
      </c>
      <c r="D2945">
        <v>206.6</v>
      </c>
      <c r="E2945">
        <v>208.4</v>
      </c>
      <c r="F2945">
        <v>100</v>
      </c>
      <c r="G2945">
        <v>100</v>
      </c>
      <c r="H2945">
        <v>164.6</v>
      </c>
      <c r="I2945">
        <v>164.4</v>
      </c>
      <c r="J2945">
        <v>100</v>
      </c>
      <c r="K2945">
        <v>100</v>
      </c>
      <c r="L2945" s="1" t="s">
        <v>6935</v>
      </c>
      <c r="M2945" t="s">
        <v>228</v>
      </c>
      <c r="N2945">
        <v>3</v>
      </c>
    </row>
    <row r="2946" spans="1:14" x14ac:dyDescent="0.25">
      <c r="A2946" s="3" t="str">
        <f>HYPERLINK("http://www.ncbi.nlm.nih.gov/gene/65217","65217")</f>
        <v>65217</v>
      </c>
      <c r="B2946" s="1" t="s">
        <v>6937</v>
      </c>
      <c r="C2946" t="s">
        <v>6938</v>
      </c>
      <c r="D2946">
        <v>160</v>
      </c>
      <c r="E2946">
        <v>168</v>
      </c>
      <c r="F2946">
        <v>97.8</v>
      </c>
      <c r="G2946">
        <v>96.7</v>
      </c>
      <c r="H2946">
        <v>152.5</v>
      </c>
      <c r="I2946">
        <v>155.30000000000001</v>
      </c>
      <c r="J2946">
        <v>100</v>
      </c>
      <c r="K2946">
        <v>100</v>
      </c>
      <c r="L2946" s="1" t="s">
        <v>6937</v>
      </c>
      <c r="M2946" t="s">
        <v>6939</v>
      </c>
      <c r="N2946">
        <v>4</v>
      </c>
    </row>
    <row r="2947" spans="1:14" x14ac:dyDescent="0.25">
      <c r="A2947" s="3" t="str">
        <f>HYPERLINK("http://www.ncbi.nlm.nih.gov/gene/57526","57526")</f>
        <v>57526</v>
      </c>
      <c r="B2947" s="1" t="s">
        <v>6940</v>
      </c>
      <c r="C2947" t="s">
        <v>6941</v>
      </c>
      <c r="D2947">
        <v>167</v>
      </c>
      <c r="E2947">
        <v>175.8</v>
      </c>
      <c r="F2947">
        <v>100</v>
      </c>
      <c r="G2947">
        <v>98.9</v>
      </c>
      <c r="H2947">
        <v>162.9</v>
      </c>
      <c r="I2947">
        <v>165.7</v>
      </c>
      <c r="J2947">
        <v>100</v>
      </c>
      <c r="K2947">
        <v>100</v>
      </c>
      <c r="L2947" s="1" t="s">
        <v>6940</v>
      </c>
      <c r="M2947" t="s">
        <v>1425</v>
      </c>
      <c r="N2947">
        <v>3</v>
      </c>
    </row>
    <row r="2948" spans="1:14" x14ac:dyDescent="0.25">
      <c r="A2948" s="3" t="str">
        <f>HYPERLINK("http://www.ncbi.nlm.nih.gov/gene/7703","7703")</f>
        <v>7703</v>
      </c>
      <c r="B2948" s="1" t="s">
        <v>6942</v>
      </c>
      <c r="C2948" t="s">
        <v>6943</v>
      </c>
      <c r="D2948">
        <v>113.7</v>
      </c>
      <c r="E2948">
        <v>114.4</v>
      </c>
      <c r="F2948">
        <v>100</v>
      </c>
      <c r="G2948">
        <v>99.5</v>
      </c>
      <c r="H2948">
        <v>217.9</v>
      </c>
      <c r="I2948">
        <v>219.2</v>
      </c>
      <c r="J2948">
        <v>100</v>
      </c>
      <c r="K2948">
        <v>100</v>
      </c>
      <c r="L2948" s="1" t="s">
        <v>6942</v>
      </c>
      <c r="M2948" t="s">
        <v>189</v>
      </c>
      <c r="N2948">
        <v>2</v>
      </c>
    </row>
    <row r="2949" spans="1:14" x14ac:dyDescent="0.25">
      <c r="A2949" s="3" t="str">
        <f>HYPERLINK("http://www.ncbi.nlm.nih.gov/gene/63935","63935")</f>
        <v>63935</v>
      </c>
      <c r="B2949" s="1" t="s">
        <v>6944</v>
      </c>
      <c r="C2949" t="s">
        <v>6945</v>
      </c>
      <c r="D2949">
        <v>138.9</v>
      </c>
      <c r="E2949">
        <v>143.5</v>
      </c>
      <c r="F2949">
        <v>100</v>
      </c>
      <c r="G2949">
        <v>100</v>
      </c>
      <c r="H2949">
        <v>142.6</v>
      </c>
      <c r="I2949">
        <v>146.5</v>
      </c>
      <c r="J2949">
        <v>100</v>
      </c>
      <c r="K2949">
        <v>100</v>
      </c>
      <c r="L2949" s="1" t="s">
        <v>6944</v>
      </c>
      <c r="M2949" t="s">
        <v>661</v>
      </c>
      <c r="N2949">
        <v>2</v>
      </c>
    </row>
    <row r="2950" spans="1:14" x14ac:dyDescent="0.25">
      <c r="A2950" s="3" t="str">
        <f>HYPERLINK("http://www.ncbi.nlm.nih.gov/gene/5105","5105")</f>
        <v>5105</v>
      </c>
      <c r="B2950" s="1" t="s">
        <v>6946</v>
      </c>
      <c r="C2950" t="s">
        <v>6947</v>
      </c>
      <c r="D2950">
        <v>136.69999999999999</v>
      </c>
      <c r="E2950">
        <v>136.1</v>
      </c>
      <c r="F2950">
        <v>100</v>
      </c>
      <c r="G2950">
        <v>100</v>
      </c>
      <c r="H2950">
        <v>131.9</v>
      </c>
      <c r="I2950">
        <v>134.30000000000001</v>
      </c>
      <c r="J2950">
        <v>100</v>
      </c>
      <c r="K2950">
        <v>100</v>
      </c>
      <c r="L2950" s="1" t="s">
        <v>6946</v>
      </c>
      <c r="M2950" t="s">
        <v>116</v>
      </c>
      <c r="N2950">
        <v>3</v>
      </c>
    </row>
    <row r="2951" spans="1:14" x14ac:dyDescent="0.25">
      <c r="A2951" s="3" t="str">
        <f>HYPERLINK("http://www.ncbi.nlm.nih.gov/gene/5106","5106")</f>
        <v>5106</v>
      </c>
      <c r="B2951" s="1" t="s">
        <v>6948</v>
      </c>
      <c r="C2951" t="s">
        <v>6949</v>
      </c>
      <c r="D2951">
        <v>172.8</v>
      </c>
      <c r="E2951">
        <v>169.7</v>
      </c>
      <c r="F2951">
        <v>100</v>
      </c>
      <c r="G2951">
        <v>100</v>
      </c>
      <c r="H2951">
        <v>139.69999999999999</v>
      </c>
      <c r="I2951">
        <v>143.4</v>
      </c>
      <c r="J2951">
        <v>100</v>
      </c>
      <c r="K2951">
        <v>100</v>
      </c>
      <c r="L2951" s="1" t="s">
        <v>6948</v>
      </c>
      <c r="M2951" t="s">
        <v>116</v>
      </c>
      <c r="N2951">
        <v>3</v>
      </c>
    </row>
    <row r="2952" spans="1:14" x14ac:dyDescent="0.25">
      <c r="A2952" s="3" t="str">
        <f>HYPERLINK("http://www.ncbi.nlm.nih.gov/gene/27445","27445")</f>
        <v>27445</v>
      </c>
      <c r="B2952" s="1" t="s">
        <v>6950</v>
      </c>
      <c r="C2952" t="s">
        <v>6951</v>
      </c>
      <c r="D2952">
        <v>169.4</v>
      </c>
      <c r="E2952">
        <v>162.9</v>
      </c>
      <c r="F2952">
        <v>99.7</v>
      </c>
      <c r="G2952">
        <v>98.7</v>
      </c>
      <c r="H2952">
        <v>156.1</v>
      </c>
      <c r="I2952">
        <v>157</v>
      </c>
      <c r="J2952">
        <v>100</v>
      </c>
      <c r="K2952">
        <v>100</v>
      </c>
      <c r="L2952" s="1" t="s">
        <v>6950</v>
      </c>
      <c r="M2952" t="s">
        <v>228</v>
      </c>
      <c r="N2952">
        <v>3</v>
      </c>
    </row>
    <row r="2953" spans="1:14" x14ac:dyDescent="0.25">
      <c r="A2953" s="3" t="str">
        <f>HYPERLINK("http://www.ncbi.nlm.nih.gov/gene/5111","5111")</f>
        <v>5111</v>
      </c>
      <c r="B2953" s="1" t="s">
        <v>6952</v>
      </c>
      <c r="C2953" t="s">
        <v>6953</v>
      </c>
      <c r="D2953">
        <v>98.1</v>
      </c>
      <c r="E2953">
        <v>100.3</v>
      </c>
      <c r="F2953">
        <v>100</v>
      </c>
      <c r="G2953">
        <v>98.4</v>
      </c>
      <c r="H2953">
        <v>123.2</v>
      </c>
      <c r="I2953">
        <v>126.9</v>
      </c>
      <c r="J2953">
        <v>100</v>
      </c>
      <c r="K2953">
        <v>100</v>
      </c>
      <c r="L2953" s="1" t="s">
        <v>6952</v>
      </c>
      <c r="M2953" t="s">
        <v>246</v>
      </c>
      <c r="N2953">
        <v>3</v>
      </c>
    </row>
    <row r="2954" spans="1:14" x14ac:dyDescent="0.25">
      <c r="A2954" s="3" t="str">
        <f>HYPERLINK("http://www.ncbi.nlm.nih.gov/gene/5116","5116")</f>
        <v>5116</v>
      </c>
      <c r="B2954" s="1" t="s">
        <v>6954</v>
      </c>
      <c r="C2954" t="s">
        <v>6955</v>
      </c>
      <c r="D2954">
        <v>113.4</v>
      </c>
      <c r="E2954">
        <v>114</v>
      </c>
      <c r="F2954">
        <v>99.6</v>
      </c>
      <c r="G2954">
        <v>97.1</v>
      </c>
      <c r="H2954">
        <v>132.19999999999999</v>
      </c>
      <c r="I2954">
        <v>135.6</v>
      </c>
      <c r="J2954">
        <v>100</v>
      </c>
      <c r="K2954">
        <v>100</v>
      </c>
      <c r="L2954" s="1" t="s">
        <v>6954</v>
      </c>
      <c r="M2954" t="s">
        <v>656</v>
      </c>
      <c r="N2954">
        <v>4</v>
      </c>
    </row>
    <row r="2955" spans="1:14" x14ac:dyDescent="0.25">
      <c r="A2955" s="3" t="str">
        <f>HYPERLINK("http://www.ncbi.nlm.nih.gov/gene/5122","5122")</f>
        <v>5122</v>
      </c>
      <c r="B2955" s="1" t="s">
        <v>6956</v>
      </c>
      <c r="C2955" t="s">
        <v>6957</v>
      </c>
      <c r="D2955">
        <v>164.9</v>
      </c>
      <c r="E2955">
        <v>175.2</v>
      </c>
      <c r="F2955">
        <v>100</v>
      </c>
      <c r="G2955">
        <v>99.5</v>
      </c>
      <c r="H2955">
        <v>154.9</v>
      </c>
      <c r="I2955">
        <v>159.5</v>
      </c>
      <c r="J2955">
        <v>100</v>
      </c>
      <c r="K2955">
        <v>100</v>
      </c>
      <c r="L2955" s="1" t="s">
        <v>6956</v>
      </c>
      <c r="M2955" t="s">
        <v>3509</v>
      </c>
      <c r="N2955">
        <v>4</v>
      </c>
    </row>
    <row r="2956" spans="1:14" x14ac:dyDescent="0.25">
      <c r="A2956" s="3" t="str">
        <f>HYPERLINK("http://www.ncbi.nlm.nih.gov/gene/255738","255738")</f>
        <v>255738</v>
      </c>
      <c r="B2956" s="1" t="s">
        <v>6958</v>
      </c>
      <c r="C2956" t="s">
        <v>6959</v>
      </c>
      <c r="D2956">
        <v>91.1</v>
      </c>
      <c r="E2956">
        <v>97</v>
      </c>
      <c r="F2956">
        <v>95</v>
      </c>
      <c r="G2956">
        <v>91.9</v>
      </c>
      <c r="H2956">
        <v>153.19999999999999</v>
      </c>
      <c r="I2956">
        <v>158.30000000000001</v>
      </c>
      <c r="J2956">
        <v>100</v>
      </c>
      <c r="K2956">
        <v>100</v>
      </c>
      <c r="L2956" s="1" t="s">
        <v>6958</v>
      </c>
      <c r="M2956" t="s">
        <v>285</v>
      </c>
      <c r="N2956">
        <v>1</v>
      </c>
    </row>
    <row r="2957" spans="1:14" x14ac:dyDescent="0.25">
      <c r="A2957" s="3" t="str">
        <f>HYPERLINK("http://www.ncbi.nlm.nih.gov/gene/5130","5130")</f>
        <v>5130</v>
      </c>
      <c r="B2957" s="1" t="s">
        <v>6960</v>
      </c>
      <c r="C2957" t="s">
        <v>6961</v>
      </c>
      <c r="D2957">
        <v>110.7</v>
      </c>
      <c r="E2957">
        <v>113.2</v>
      </c>
      <c r="F2957">
        <v>98.9</v>
      </c>
      <c r="G2957">
        <v>95.5</v>
      </c>
      <c r="H2957">
        <v>154.80000000000001</v>
      </c>
      <c r="I2957">
        <v>159.69999999999999</v>
      </c>
      <c r="J2957">
        <v>100</v>
      </c>
      <c r="K2957">
        <v>100</v>
      </c>
      <c r="L2957" s="1" t="s">
        <v>6960</v>
      </c>
      <c r="M2957" t="s">
        <v>6962</v>
      </c>
      <c r="N2957">
        <v>5</v>
      </c>
    </row>
    <row r="2958" spans="1:14" x14ac:dyDescent="0.25">
      <c r="A2958" s="3" t="str">
        <f>HYPERLINK("http://www.ncbi.nlm.nih.gov/gene/5833","5833")</f>
        <v>5833</v>
      </c>
      <c r="B2958" s="1" t="s">
        <v>6963</v>
      </c>
      <c r="C2958" t="s">
        <v>6964</v>
      </c>
      <c r="D2958">
        <v>148.30000000000001</v>
      </c>
      <c r="E2958">
        <v>149.9</v>
      </c>
      <c r="F2958">
        <v>99.8</v>
      </c>
      <c r="G2958">
        <v>97.1</v>
      </c>
      <c r="H2958">
        <v>124.5</v>
      </c>
      <c r="I2958">
        <v>126.5</v>
      </c>
      <c r="J2958">
        <v>100</v>
      </c>
      <c r="K2958">
        <v>98.8</v>
      </c>
      <c r="L2958" s="1" t="s">
        <v>6963</v>
      </c>
      <c r="M2958" t="s">
        <v>6965</v>
      </c>
      <c r="N2958">
        <v>4</v>
      </c>
    </row>
    <row r="2959" spans="1:14" x14ac:dyDescent="0.25">
      <c r="A2959" s="3" t="str">
        <f>HYPERLINK("http://www.ncbi.nlm.nih.gov/gene/11235","11235")</f>
        <v>11235</v>
      </c>
      <c r="B2959" s="1" t="s">
        <v>6966</v>
      </c>
      <c r="C2959" t="s">
        <v>6967</v>
      </c>
      <c r="D2959">
        <v>129.4</v>
      </c>
      <c r="E2959">
        <v>132.4</v>
      </c>
      <c r="F2959">
        <v>99.9</v>
      </c>
      <c r="G2959">
        <v>98.9</v>
      </c>
      <c r="H2959">
        <v>114.1</v>
      </c>
      <c r="I2959">
        <v>116.3</v>
      </c>
      <c r="J2959">
        <v>100</v>
      </c>
      <c r="K2959">
        <v>100</v>
      </c>
      <c r="L2959" s="1" t="s">
        <v>6966</v>
      </c>
      <c r="M2959" t="s">
        <v>22</v>
      </c>
      <c r="N2959">
        <v>1</v>
      </c>
    </row>
    <row r="2960" spans="1:14" x14ac:dyDescent="0.25">
      <c r="A2960" s="3" t="str">
        <f>HYPERLINK("http://www.ncbi.nlm.nih.gov/gene/10846","10846")</f>
        <v>10846</v>
      </c>
      <c r="B2960" s="1" t="s">
        <v>6968</v>
      </c>
      <c r="C2960" t="s">
        <v>6969</v>
      </c>
      <c r="D2960">
        <v>97.6</v>
      </c>
      <c r="E2960">
        <v>97.5</v>
      </c>
      <c r="F2960">
        <v>65.5</v>
      </c>
      <c r="G2960">
        <v>64.5</v>
      </c>
      <c r="H2960">
        <v>112.2</v>
      </c>
      <c r="I2960">
        <v>110.5</v>
      </c>
      <c r="J2960">
        <v>86.9</v>
      </c>
      <c r="K2960">
        <v>84.1</v>
      </c>
      <c r="L2960" s="1" t="s">
        <v>6968</v>
      </c>
      <c r="M2960" t="s">
        <v>6970</v>
      </c>
      <c r="N2960">
        <v>3</v>
      </c>
    </row>
    <row r="2961" spans="1:14" x14ac:dyDescent="0.25">
      <c r="A2961" s="3" t="str">
        <f>HYPERLINK("http://www.ncbi.nlm.nih.gov/gene/50940","50940")</f>
        <v>50940</v>
      </c>
      <c r="B2961" s="1" t="s">
        <v>6971</v>
      </c>
      <c r="C2961" t="s">
        <v>6972</v>
      </c>
      <c r="D2961">
        <v>178.4</v>
      </c>
      <c r="E2961">
        <v>175.4</v>
      </c>
      <c r="F2961">
        <v>99.9</v>
      </c>
      <c r="G2961">
        <v>99.7</v>
      </c>
      <c r="H2961">
        <v>141.9</v>
      </c>
      <c r="I2961">
        <v>147.1</v>
      </c>
      <c r="J2961">
        <v>100</v>
      </c>
      <c r="K2961">
        <v>100</v>
      </c>
      <c r="L2961" s="1" t="s">
        <v>6971</v>
      </c>
      <c r="M2961" t="s">
        <v>285</v>
      </c>
      <c r="N2961">
        <v>1</v>
      </c>
    </row>
    <row r="2962" spans="1:14" x14ac:dyDescent="0.25">
      <c r="A2962" s="3" t="str">
        <f>HYPERLINK("http://www.ncbi.nlm.nih.gov/gene/5137","5137")</f>
        <v>5137</v>
      </c>
      <c r="B2962" s="1" t="s">
        <v>6973</v>
      </c>
      <c r="C2962" t="s">
        <v>6974</v>
      </c>
      <c r="D2962">
        <v>126.6</v>
      </c>
      <c r="E2962">
        <v>132.6</v>
      </c>
      <c r="F2962">
        <v>100</v>
      </c>
      <c r="G2962">
        <v>99.6</v>
      </c>
      <c r="H2962">
        <v>139.30000000000001</v>
      </c>
      <c r="I2962">
        <v>142.80000000000001</v>
      </c>
      <c r="J2962">
        <v>100</v>
      </c>
      <c r="K2962">
        <v>100</v>
      </c>
      <c r="L2962" s="1" t="s">
        <v>6973</v>
      </c>
      <c r="M2962" t="s">
        <v>76</v>
      </c>
      <c r="N2962">
        <v>2</v>
      </c>
    </row>
    <row r="2963" spans="1:14" x14ac:dyDescent="0.25">
      <c r="A2963" s="3" t="str">
        <f>HYPERLINK("http://www.ncbi.nlm.nih.gov/gene/5138","5138")</f>
        <v>5138</v>
      </c>
      <c r="B2963" s="1" t="s">
        <v>6975</v>
      </c>
      <c r="C2963" t="s">
        <v>6976</v>
      </c>
      <c r="D2963">
        <v>112.4</v>
      </c>
      <c r="E2963">
        <v>114.8</v>
      </c>
      <c r="F2963">
        <v>100</v>
      </c>
      <c r="G2963">
        <v>99.9</v>
      </c>
      <c r="H2963">
        <v>131.5</v>
      </c>
      <c r="I2963">
        <v>134.19999999999999</v>
      </c>
      <c r="J2963">
        <v>100</v>
      </c>
      <c r="K2963">
        <v>100</v>
      </c>
      <c r="L2963" s="1" t="s">
        <v>6975</v>
      </c>
      <c r="M2963" t="s">
        <v>265</v>
      </c>
      <c r="N2963">
        <v>2</v>
      </c>
    </row>
    <row r="2964" spans="1:14" x14ac:dyDescent="0.25">
      <c r="A2964" s="3" t="str">
        <f>HYPERLINK("http://www.ncbi.nlm.nih.gov/gene/5139","5139")</f>
        <v>5139</v>
      </c>
      <c r="B2964" s="1" t="s">
        <v>6977</v>
      </c>
      <c r="C2964" t="s">
        <v>6978</v>
      </c>
      <c r="D2964">
        <v>124.2</v>
      </c>
      <c r="E2964">
        <v>128.19999999999999</v>
      </c>
      <c r="F2964">
        <v>99.9</v>
      </c>
      <c r="G2964">
        <v>99.4</v>
      </c>
      <c r="H2964">
        <v>135.6</v>
      </c>
      <c r="I2964">
        <v>139.30000000000001</v>
      </c>
      <c r="J2964">
        <v>100</v>
      </c>
      <c r="K2964">
        <v>100</v>
      </c>
      <c r="L2964" s="1" t="s">
        <v>6977</v>
      </c>
      <c r="M2964" t="s">
        <v>1253</v>
      </c>
      <c r="N2964">
        <v>2</v>
      </c>
    </row>
    <row r="2965" spans="1:14" x14ac:dyDescent="0.25">
      <c r="A2965" s="3" t="str">
        <f>HYPERLINK("http://www.ncbi.nlm.nih.gov/gene/5144","5144")</f>
        <v>5144</v>
      </c>
      <c r="B2965" s="1" t="s">
        <v>6979</v>
      </c>
      <c r="C2965" t="s">
        <v>6980</v>
      </c>
      <c r="D2965">
        <v>121.6</v>
      </c>
      <c r="E2965">
        <v>124.7</v>
      </c>
      <c r="F2965">
        <v>95.7</v>
      </c>
      <c r="G2965">
        <v>93.5</v>
      </c>
      <c r="H2965">
        <v>134.80000000000001</v>
      </c>
      <c r="I2965">
        <v>138.6</v>
      </c>
      <c r="J2965">
        <v>100</v>
      </c>
      <c r="K2965">
        <v>99.8</v>
      </c>
      <c r="L2965" s="1" t="s">
        <v>6979</v>
      </c>
      <c r="M2965" t="s">
        <v>697</v>
      </c>
      <c r="N2965">
        <v>3</v>
      </c>
    </row>
    <row r="2966" spans="1:14" x14ac:dyDescent="0.25">
      <c r="A2966" s="3" t="str">
        <f>HYPERLINK("http://www.ncbi.nlm.nih.gov/gene/5145","5145")</f>
        <v>5145</v>
      </c>
      <c r="B2966" s="1" t="s">
        <v>6981</v>
      </c>
      <c r="C2966" t="s">
        <v>6982</v>
      </c>
      <c r="D2966">
        <v>117.5</v>
      </c>
      <c r="E2966">
        <v>120.4</v>
      </c>
      <c r="F2966">
        <v>100</v>
      </c>
      <c r="G2966">
        <v>99.6</v>
      </c>
      <c r="H2966">
        <v>134.30000000000001</v>
      </c>
      <c r="I2966">
        <v>137.80000000000001</v>
      </c>
      <c r="J2966">
        <v>100</v>
      </c>
      <c r="K2966">
        <v>100</v>
      </c>
      <c r="L2966" s="1" t="s">
        <v>6981</v>
      </c>
      <c r="M2966" t="s">
        <v>2014</v>
      </c>
      <c r="N2966">
        <v>3</v>
      </c>
    </row>
    <row r="2967" spans="1:14" x14ac:dyDescent="0.25">
      <c r="A2967" s="3" t="str">
        <f>HYPERLINK("http://www.ncbi.nlm.nih.gov/gene/5158","5158")</f>
        <v>5158</v>
      </c>
      <c r="B2967" s="1" t="s">
        <v>6983</v>
      </c>
      <c r="C2967" t="s">
        <v>6984</v>
      </c>
      <c r="D2967">
        <v>156.1</v>
      </c>
      <c r="E2967">
        <v>155.9</v>
      </c>
      <c r="F2967">
        <v>100</v>
      </c>
      <c r="G2967">
        <v>99.9</v>
      </c>
      <c r="H2967">
        <v>131.6</v>
      </c>
      <c r="I2967">
        <v>134.6</v>
      </c>
      <c r="J2967">
        <v>100</v>
      </c>
      <c r="K2967">
        <v>100</v>
      </c>
      <c r="L2967" s="1" t="s">
        <v>6983</v>
      </c>
      <c r="M2967" t="s">
        <v>4256</v>
      </c>
      <c r="N2967">
        <v>3</v>
      </c>
    </row>
    <row r="2968" spans="1:14" x14ac:dyDescent="0.25">
      <c r="A2968" s="3" t="str">
        <f>HYPERLINK("http://www.ncbi.nlm.nih.gov/gene/5146","5146")</f>
        <v>5146</v>
      </c>
      <c r="B2968" s="1" t="s">
        <v>6985</v>
      </c>
      <c r="C2968" t="s">
        <v>6986</v>
      </c>
      <c r="D2968">
        <v>136.4</v>
      </c>
      <c r="E2968">
        <v>136.5</v>
      </c>
      <c r="F2968">
        <v>99.9</v>
      </c>
      <c r="G2968">
        <v>97.8</v>
      </c>
      <c r="H2968">
        <v>131.6</v>
      </c>
      <c r="I2968">
        <v>135.19999999999999</v>
      </c>
      <c r="J2968">
        <v>100</v>
      </c>
      <c r="K2968">
        <v>100</v>
      </c>
      <c r="L2968" s="1" t="s">
        <v>6985</v>
      </c>
      <c r="M2968" t="s">
        <v>56</v>
      </c>
      <c r="N2968">
        <v>3</v>
      </c>
    </row>
    <row r="2969" spans="1:14" x14ac:dyDescent="0.25">
      <c r="A2969" s="3" t="str">
        <f>HYPERLINK("http://www.ncbi.nlm.nih.gov/gene/5147","5147")</f>
        <v>5147</v>
      </c>
      <c r="B2969" s="1" t="s">
        <v>6987</v>
      </c>
      <c r="C2969" t="s">
        <v>6988</v>
      </c>
      <c r="D2969">
        <v>127.7</v>
      </c>
      <c r="E2969">
        <v>128.69999999999999</v>
      </c>
      <c r="F2969">
        <v>100</v>
      </c>
      <c r="G2969">
        <v>100</v>
      </c>
      <c r="H2969">
        <v>118.6</v>
      </c>
      <c r="I2969">
        <v>120.7</v>
      </c>
      <c r="J2969">
        <v>100</v>
      </c>
      <c r="K2969">
        <v>100</v>
      </c>
      <c r="L2969" s="1" t="s">
        <v>6987</v>
      </c>
      <c r="M2969" t="s">
        <v>1063</v>
      </c>
      <c r="N2969">
        <v>5</v>
      </c>
    </row>
    <row r="2970" spans="1:14" x14ac:dyDescent="0.25">
      <c r="A2970" s="3" t="str">
        <f>HYPERLINK("http://www.ncbi.nlm.nih.gov/gene/5148","5148")</f>
        <v>5148</v>
      </c>
      <c r="B2970" s="1" t="s">
        <v>6989</v>
      </c>
      <c r="C2970" t="s">
        <v>6990</v>
      </c>
      <c r="D2970">
        <v>151.6</v>
      </c>
      <c r="E2970">
        <v>158.1</v>
      </c>
      <c r="F2970">
        <v>100</v>
      </c>
      <c r="G2970">
        <v>100</v>
      </c>
      <c r="H2970">
        <v>132.9</v>
      </c>
      <c r="I2970">
        <v>136.30000000000001</v>
      </c>
      <c r="J2970">
        <v>100</v>
      </c>
      <c r="K2970">
        <v>100</v>
      </c>
      <c r="L2970" s="1" t="s">
        <v>6989</v>
      </c>
      <c r="M2970" t="s">
        <v>56</v>
      </c>
      <c r="N2970">
        <v>3</v>
      </c>
    </row>
    <row r="2971" spans="1:14" x14ac:dyDescent="0.25">
      <c r="A2971" s="3" t="str">
        <f>HYPERLINK("http://www.ncbi.nlm.nih.gov/gene/5149","5149")</f>
        <v>5149</v>
      </c>
      <c r="B2971" s="1" t="s">
        <v>6991</v>
      </c>
      <c r="C2971" t="s">
        <v>6992</v>
      </c>
      <c r="D2971">
        <v>73.7</v>
      </c>
      <c r="E2971">
        <v>73.7</v>
      </c>
      <c r="F2971">
        <v>100</v>
      </c>
      <c r="G2971">
        <v>97.9</v>
      </c>
      <c r="H2971">
        <v>147.80000000000001</v>
      </c>
      <c r="I2971">
        <v>151.6</v>
      </c>
      <c r="J2971">
        <v>100</v>
      </c>
      <c r="K2971">
        <v>100</v>
      </c>
      <c r="L2971" s="1" t="s">
        <v>6991</v>
      </c>
      <c r="M2971" t="s">
        <v>1130</v>
      </c>
      <c r="N2971">
        <v>3</v>
      </c>
    </row>
    <row r="2972" spans="1:14" x14ac:dyDescent="0.25">
      <c r="A2972" s="3" t="str">
        <f>HYPERLINK("http://www.ncbi.nlm.nih.gov/gene/8622","8622")</f>
        <v>8622</v>
      </c>
      <c r="B2972" s="1" t="s">
        <v>6993</v>
      </c>
      <c r="C2972" t="s">
        <v>6994</v>
      </c>
      <c r="D2972">
        <v>107.9</v>
      </c>
      <c r="E2972">
        <v>110.4</v>
      </c>
      <c r="F2972">
        <v>99.9</v>
      </c>
      <c r="G2972">
        <v>99.7</v>
      </c>
      <c r="H2972">
        <v>131.69999999999999</v>
      </c>
      <c r="I2972">
        <v>135.1</v>
      </c>
      <c r="J2972">
        <v>100</v>
      </c>
      <c r="K2972">
        <v>100</v>
      </c>
      <c r="L2972" s="1" t="s">
        <v>6993</v>
      </c>
      <c r="M2972" t="s">
        <v>600</v>
      </c>
      <c r="N2972">
        <v>2</v>
      </c>
    </row>
    <row r="2973" spans="1:14" x14ac:dyDescent="0.25">
      <c r="A2973" s="3" t="str">
        <f>HYPERLINK("http://www.ncbi.nlm.nih.gov/gene/5155","5155")</f>
        <v>5155</v>
      </c>
      <c r="B2973" s="1" t="s">
        <v>6995</v>
      </c>
      <c r="C2973" t="s">
        <v>6996</v>
      </c>
      <c r="D2973">
        <v>118.1</v>
      </c>
      <c r="E2973">
        <v>121.4</v>
      </c>
      <c r="F2973">
        <v>100</v>
      </c>
      <c r="G2973">
        <v>99.3</v>
      </c>
      <c r="H2973">
        <v>129</v>
      </c>
      <c r="I2973">
        <v>131.9</v>
      </c>
      <c r="J2973">
        <v>100</v>
      </c>
      <c r="K2973">
        <v>100</v>
      </c>
      <c r="L2973" s="1" t="s">
        <v>6995</v>
      </c>
      <c r="M2973" t="s">
        <v>6997</v>
      </c>
      <c r="N2973">
        <v>5</v>
      </c>
    </row>
    <row r="2974" spans="1:14" x14ac:dyDescent="0.25">
      <c r="A2974" s="3" t="str">
        <f>HYPERLINK("http://www.ncbi.nlm.nih.gov/gene/5156","5156")</f>
        <v>5156</v>
      </c>
      <c r="B2974" s="1" t="s">
        <v>6998</v>
      </c>
      <c r="C2974" t="s">
        <v>6999</v>
      </c>
      <c r="D2974">
        <v>148.69999999999999</v>
      </c>
      <c r="E2974">
        <v>153.6</v>
      </c>
      <c r="F2974">
        <v>100</v>
      </c>
      <c r="G2974">
        <v>100</v>
      </c>
      <c r="H2974">
        <v>140.4</v>
      </c>
      <c r="I2974">
        <v>144.6</v>
      </c>
      <c r="J2974">
        <v>100</v>
      </c>
      <c r="K2974">
        <v>100</v>
      </c>
      <c r="L2974" s="1" t="s">
        <v>6998</v>
      </c>
      <c r="M2974" t="s">
        <v>389</v>
      </c>
      <c r="N2974">
        <v>2</v>
      </c>
    </row>
    <row r="2975" spans="1:14" x14ac:dyDescent="0.25">
      <c r="A2975" s="3" t="str">
        <f>HYPERLINK("http://www.ncbi.nlm.nih.gov/gene/5159","5159")</f>
        <v>5159</v>
      </c>
      <c r="B2975" s="1" t="s">
        <v>7000</v>
      </c>
      <c r="C2975" t="s">
        <v>7001</v>
      </c>
      <c r="D2975">
        <v>142.19999999999999</v>
      </c>
      <c r="E2975">
        <v>147.6</v>
      </c>
      <c r="F2975">
        <v>99.2</v>
      </c>
      <c r="G2975">
        <v>97.5</v>
      </c>
      <c r="H2975">
        <v>138.69999999999999</v>
      </c>
      <c r="I2975">
        <v>142.9</v>
      </c>
      <c r="J2975">
        <v>100</v>
      </c>
      <c r="K2975">
        <v>100</v>
      </c>
      <c r="L2975" s="1" t="s">
        <v>7000</v>
      </c>
      <c r="M2975" t="s">
        <v>7002</v>
      </c>
      <c r="N2975">
        <v>5</v>
      </c>
    </row>
    <row r="2976" spans="1:14" x14ac:dyDescent="0.25">
      <c r="A2976" s="3" t="str">
        <f>HYPERLINK("http://www.ncbi.nlm.nih.gov/gene/5157","5157")</f>
        <v>5157</v>
      </c>
      <c r="B2976" s="1" t="s">
        <v>7003</v>
      </c>
      <c r="C2976" t="s">
        <v>7004</v>
      </c>
      <c r="D2976">
        <v>147.5</v>
      </c>
      <c r="E2976">
        <v>151.80000000000001</v>
      </c>
      <c r="F2976">
        <v>100</v>
      </c>
      <c r="G2976">
        <v>100</v>
      </c>
      <c r="H2976">
        <v>156.30000000000001</v>
      </c>
      <c r="I2976">
        <v>161.30000000000001</v>
      </c>
      <c r="J2976">
        <v>100</v>
      </c>
      <c r="K2976">
        <v>100</v>
      </c>
      <c r="L2976" s="1" t="s">
        <v>7003</v>
      </c>
      <c r="M2976" t="s">
        <v>22</v>
      </c>
      <c r="N2976">
        <v>1</v>
      </c>
    </row>
    <row r="2977" spans="1:14" x14ac:dyDescent="0.25">
      <c r="A2977" s="3" t="str">
        <f>HYPERLINK("http://www.ncbi.nlm.nih.gov/gene/5160","5160")</f>
        <v>5160</v>
      </c>
      <c r="B2977" s="1" t="s">
        <v>7005</v>
      </c>
      <c r="C2977" t="s">
        <v>7006</v>
      </c>
      <c r="D2977">
        <v>98.7</v>
      </c>
      <c r="E2977">
        <v>102</v>
      </c>
      <c r="F2977">
        <v>99.4</v>
      </c>
      <c r="G2977">
        <v>97.1</v>
      </c>
      <c r="H2977">
        <v>127.1</v>
      </c>
      <c r="I2977">
        <v>130.4</v>
      </c>
      <c r="J2977">
        <v>100</v>
      </c>
      <c r="K2977">
        <v>100</v>
      </c>
      <c r="L2977" s="1" t="s">
        <v>7005</v>
      </c>
      <c r="M2977" t="s">
        <v>7007</v>
      </c>
      <c r="N2977">
        <v>5</v>
      </c>
    </row>
    <row r="2978" spans="1:14" x14ac:dyDescent="0.25">
      <c r="A2978" s="3" t="str">
        <f>HYPERLINK("http://www.ncbi.nlm.nih.gov/gene/5162","5162")</f>
        <v>5162</v>
      </c>
      <c r="B2978" s="1" t="s">
        <v>7008</v>
      </c>
      <c r="C2978" t="s">
        <v>7009</v>
      </c>
      <c r="D2978">
        <v>127.2</v>
      </c>
      <c r="E2978">
        <v>132.1</v>
      </c>
      <c r="F2978">
        <v>99.1</v>
      </c>
      <c r="G2978">
        <v>97.5</v>
      </c>
      <c r="H2978">
        <v>134.30000000000001</v>
      </c>
      <c r="I2978">
        <v>137.5</v>
      </c>
      <c r="J2978">
        <v>100</v>
      </c>
      <c r="K2978">
        <v>100</v>
      </c>
      <c r="L2978" s="1" t="s">
        <v>7008</v>
      </c>
      <c r="M2978" t="s">
        <v>7010</v>
      </c>
      <c r="N2978">
        <v>4</v>
      </c>
    </row>
    <row r="2979" spans="1:14" x14ac:dyDescent="0.25">
      <c r="A2979" s="3" t="str">
        <f>HYPERLINK("http://www.ncbi.nlm.nih.gov/gene/8050","8050")</f>
        <v>8050</v>
      </c>
      <c r="B2979" s="1" t="s">
        <v>7011</v>
      </c>
      <c r="C2979" t="s">
        <v>7012</v>
      </c>
      <c r="D2979">
        <v>154.1</v>
      </c>
      <c r="E2979">
        <v>159.4</v>
      </c>
      <c r="F2979">
        <v>99.9</v>
      </c>
      <c r="G2979">
        <v>99.4</v>
      </c>
      <c r="H2979">
        <v>121.6</v>
      </c>
      <c r="I2979">
        <v>125</v>
      </c>
      <c r="J2979">
        <v>100</v>
      </c>
      <c r="K2979">
        <v>100</v>
      </c>
      <c r="L2979" s="1" t="s">
        <v>7011</v>
      </c>
      <c r="M2979" t="s">
        <v>3419</v>
      </c>
      <c r="N2979">
        <v>6</v>
      </c>
    </row>
    <row r="2980" spans="1:14" x14ac:dyDescent="0.25">
      <c r="A2980" s="3" t="str">
        <f>HYPERLINK("http://www.ncbi.nlm.nih.gov/gene/5163","5163")</f>
        <v>5163</v>
      </c>
      <c r="B2980" s="1" t="s">
        <v>7013</v>
      </c>
      <c r="D2980">
        <v>140.6</v>
      </c>
      <c r="E2980">
        <v>143.5</v>
      </c>
      <c r="F2980">
        <v>99.9</v>
      </c>
      <c r="G2980">
        <v>98.5</v>
      </c>
      <c r="H2980">
        <v>115.5</v>
      </c>
      <c r="I2980">
        <v>118.4</v>
      </c>
      <c r="J2980">
        <v>100</v>
      </c>
      <c r="K2980">
        <v>99.9</v>
      </c>
      <c r="L2980" s="1" t="s">
        <v>7013</v>
      </c>
      <c r="M2980" t="s">
        <v>265</v>
      </c>
      <c r="N2980">
        <v>2</v>
      </c>
    </row>
    <row r="2981" spans="1:14" x14ac:dyDescent="0.25">
      <c r="A2981" s="3" t="str">
        <f>HYPERLINK("http://www.ncbi.nlm.nih.gov/gene/5164","5164")</f>
        <v>5164</v>
      </c>
      <c r="B2981" s="1" t="s">
        <v>7014</v>
      </c>
      <c r="C2981" t="s">
        <v>7015</v>
      </c>
      <c r="D2981">
        <v>148.69999999999999</v>
      </c>
      <c r="E2981">
        <v>156.5</v>
      </c>
      <c r="F2981">
        <v>100</v>
      </c>
      <c r="G2981">
        <v>100</v>
      </c>
      <c r="H2981">
        <v>148.6</v>
      </c>
      <c r="I2981">
        <v>152.19999999999999</v>
      </c>
      <c r="J2981">
        <v>100</v>
      </c>
      <c r="K2981">
        <v>100</v>
      </c>
      <c r="L2981" s="1" t="s">
        <v>7014</v>
      </c>
      <c r="M2981" t="s">
        <v>265</v>
      </c>
      <c r="N2981">
        <v>2</v>
      </c>
    </row>
    <row r="2982" spans="1:14" x14ac:dyDescent="0.25">
      <c r="A2982" s="3" t="str">
        <f>HYPERLINK("http://www.ncbi.nlm.nih.gov/gene/5165","5165")</f>
        <v>5165</v>
      </c>
      <c r="B2982" s="1" t="s">
        <v>7016</v>
      </c>
      <c r="C2982" t="s">
        <v>7017</v>
      </c>
      <c r="D2982">
        <v>118.3</v>
      </c>
      <c r="E2982">
        <v>122.5</v>
      </c>
      <c r="F2982">
        <v>99.5</v>
      </c>
      <c r="G2982">
        <v>97.2</v>
      </c>
      <c r="H2982">
        <v>111.1</v>
      </c>
      <c r="I2982">
        <v>113.8</v>
      </c>
      <c r="J2982">
        <v>100</v>
      </c>
      <c r="K2982">
        <v>100</v>
      </c>
      <c r="L2982" s="1" t="s">
        <v>7016</v>
      </c>
      <c r="M2982" t="s">
        <v>7018</v>
      </c>
      <c r="N2982">
        <v>3</v>
      </c>
    </row>
    <row r="2983" spans="1:14" x14ac:dyDescent="0.25">
      <c r="A2983" s="3" t="str">
        <f>HYPERLINK("http://www.ncbi.nlm.nih.gov/gene/5166","5166")</f>
        <v>5166</v>
      </c>
      <c r="B2983" s="1" t="s">
        <v>7019</v>
      </c>
      <c r="D2983">
        <v>129.6</v>
      </c>
      <c r="E2983">
        <v>133.5</v>
      </c>
      <c r="F2983">
        <v>100</v>
      </c>
      <c r="G2983">
        <v>99.3</v>
      </c>
      <c r="H2983">
        <v>124.8</v>
      </c>
      <c r="I2983">
        <v>128.4</v>
      </c>
      <c r="J2983">
        <v>100</v>
      </c>
      <c r="K2983">
        <v>100</v>
      </c>
      <c r="L2983" s="1" t="s">
        <v>7019</v>
      </c>
      <c r="M2983" t="s">
        <v>265</v>
      </c>
      <c r="N2983">
        <v>2</v>
      </c>
    </row>
    <row r="2984" spans="1:14" x14ac:dyDescent="0.25">
      <c r="A2984" s="3" t="str">
        <f>HYPERLINK("http://www.ncbi.nlm.nih.gov/gene/27295","27295")</f>
        <v>27295</v>
      </c>
      <c r="B2984" s="1" t="s">
        <v>7020</v>
      </c>
      <c r="C2984" t="s">
        <v>7021</v>
      </c>
      <c r="D2984">
        <v>150.4</v>
      </c>
      <c r="E2984">
        <v>157.80000000000001</v>
      </c>
      <c r="F2984">
        <v>100</v>
      </c>
      <c r="G2984">
        <v>99.7</v>
      </c>
      <c r="H2984">
        <v>134.5</v>
      </c>
      <c r="I2984">
        <v>138.1</v>
      </c>
      <c r="J2984">
        <v>100</v>
      </c>
      <c r="K2984">
        <v>100</v>
      </c>
      <c r="L2984" s="1" t="s">
        <v>7020</v>
      </c>
      <c r="M2984" t="s">
        <v>197</v>
      </c>
      <c r="N2984">
        <v>2</v>
      </c>
    </row>
    <row r="2985" spans="1:14" x14ac:dyDescent="0.25">
      <c r="A2985" s="3" t="str">
        <f>HYPERLINK("http://www.ncbi.nlm.nih.gov/gene/10611","10611")</f>
        <v>10611</v>
      </c>
      <c r="B2985" s="1" t="s">
        <v>7022</v>
      </c>
      <c r="C2985" t="s">
        <v>7023</v>
      </c>
      <c r="D2985">
        <v>140.1</v>
      </c>
      <c r="E2985">
        <v>146.30000000000001</v>
      </c>
      <c r="F2985">
        <v>93.5</v>
      </c>
      <c r="G2985">
        <v>91.3</v>
      </c>
      <c r="H2985">
        <v>124.8</v>
      </c>
      <c r="I2985">
        <v>126.4</v>
      </c>
      <c r="J2985">
        <v>97.5</v>
      </c>
      <c r="K2985">
        <v>95.2</v>
      </c>
      <c r="L2985" s="1" t="s">
        <v>7022</v>
      </c>
      <c r="M2985" t="s">
        <v>197</v>
      </c>
      <c r="N2985">
        <v>2</v>
      </c>
    </row>
    <row r="2986" spans="1:14" x14ac:dyDescent="0.25">
      <c r="A2986" s="3" t="str">
        <f>HYPERLINK("http://www.ncbi.nlm.nih.gov/gene/54704","54704")</f>
        <v>54704</v>
      </c>
      <c r="B2986" s="1" t="s">
        <v>7024</v>
      </c>
      <c r="C2986" t="s">
        <v>7025</v>
      </c>
      <c r="D2986">
        <v>151.19999999999999</v>
      </c>
      <c r="E2986">
        <v>151</v>
      </c>
      <c r="F2986">
        <v>100</v>
      </c>
      <c r="G2986">
        <v>100</v>
      </c>
      <c r="H2986">
        <v>136.5</v>
      </c>
      <c r="I2986">
        <v>134.30000000000001</v>
      </c>
      <c r="J2986">
        <v>100</v>
      </c>
      <c r="K2986">
        <v>100</v>
      </c>
      <c r="L2986" s="1" t="s">
        <v>7024</v>
      </c>
      <c r="M2986" t="s">
        <v>1206</v>
      </c>
      <c r="N2986">
        <v>5</v>
      </c>
    </row>
    <row r="2987" spans="1:14" x14ac:dyDescent="0.25">
      <c r="A2987" s="3" t="str">
        <f>HYPERLINK("http://www.ncbi.nlm.nih.gov/gene/23590","23590")</f>
        <v>23590</v>
      </c>
      <c r="B2987" s="1" t="s">
        <v>7026</v>
      </c>
      <c r="C2987" t="s">
        <v>7027</v>
      </c>
      <c r="D2987">
        <v>126.5</v>
      </c>
      <c r="E2987">
        <v>129.80000000000001</v>
      </c>
      <c r="F2987">
        <v>94.7</v>
      </c>
      <c r="G2987">
        <v>87.6</v>
      </c>
      <c r="H2987">
        <v>116.3</v>
      </c>
      <c r="I2987">
        <v>119.6</v>
      </c>
      <c r="J2987">
        <v>97.3</v>
      </c>
      <c r="K2987">
        <v>96.6</v>
      </c>
      <c r="L2987" s="1" t="s">
        <v>7026</v>
      </c>
      <c r="M2987" t="s">
        <v>2709</v>
      </c>
      <c r="N2987">
        <v>6</v>
      </c>
    </row>
    <row r="2988" spans="1:14" x14ac:dyDescent="0.25">
      <c r="A2988" s="3" t="str">
        <f>HYPERLINK("http://www.ncbi.nlm.nih.gov/gene/57107","57107")</f>
        <v>57107</v>
      </c>
      <c r="B2988" s="1" t="s">
        <v>7028</v>
      </c>
      <c r="C2988" t="s">
        <v>7029</v>
      </c>
      <c r="D2988">
        <v>121.9</v>
      </c>
      <c r="E2988">
        <v>125.9</v>
      </c>
      <c r="F2988">
        <v>99.8</v>
      </c>
      <c r="G2988">
        <v>97.1</v>
      </c>
      <c r="H2988">
        <v>129.80000000000001</v>
      </c>
      <c r="I2988">
        <v>133.4</v>
      </c>
      <c r="J2988">
        <v>100</v>
      </c>
      <c r="K2988">
        <v>100</v>
      </c>
      <c r="L2988" s="1" t="s">
        <v>7028</v>
      </c>
      <c r="M2988" t="s">
        <v>2201</v>
      </c>
      <c r="N2988">
        <v>7</v>
      </c>
    </row>
    <row r="2989" spans="1:14" x14ac:dyDescent="0.25">
      <c r="A2989" s="3" t="str">
        <f>HYPERLINK("http://www.ncbi.nlm.nih.gov/gene/3651","3651")</f>
        <v>3651</v>
      </c>
      <c r="B2989" s="1" t="s">
        <v>7030</v>
      </c>
      <c r="C2989" t="s">
        <v>7031</v>
      </c>
      <c r="D2989">
        <v>61</v>
      </c>
      <c r="E2989">
        <v>59.1</v>
      </c>
      <c r="F2989">
        <v>93</v>
      </c>
      <c r="G2989">
        <v>82.4</v>
      </c>
      <c r="H2989">
        <v>124.1</v>
      </c>
      <c r="I2989">
        <v>124</v>
      </c>
      <c r="J2989">
        <v>100</v>
      </c>
      <c r="K2989">
        <v>100</v>
      </c>
      <c r="L2989" s="1" t="s">
        <v>7030</v>
      </c>
      <c r="M2989" t="s">
        <v>2040</v>
      </c>
      <c r="N2989">
        <v>3</v>
      </c>
    </row>
    <row r="2990" spans="1:14" x14ac:dyDescent="0.25">
      <c r="A2990" s="3" t="str">
        <f>HYPERLINK("http://www.ncbi.nlm.nih.gov/gene/8566","8566")</f>
        <v>8566</v>
      </c>
      <c r="B2990" s="1" t="s">
        <v>7032</v>
      </c>
      <c r="C2990" t="s">
        <v>7033</v>
      </c>
      <c r="D2990">
        <v>122.4</v>
      </c>
      <c r="E2990">
        <v>122.8</v>
      </c>
      <c r="F2990">
        <v>79.3</v>
      </c>
      <c r="G2990">
        <v>76.599999999999994</v>
      </c>
      <c r="H2990">
        <v>120.2</v>
      </c>
      <c r="I2990">
        <v>123.2</v>
      </c>
      <c r="J2990">
        <v>99.4</v>
      </c>
      <c r="K2990">
        <v>96.7</v>
      </c>
      <c r="L2990" s="1" t="s">
        <v>7032</v>
      </c>
      <c r="M2990" t="s">
        <v>44</v>
      </c>
      <c r="N2990">
        <v>3</v>
      </c>
    </row>
    <row r="2991" spans="1:14" x14ac:dyDescent="0.25">
      <c r="A2991" s="3" t="str">
        <f>HYPERLINK("http://www.ncbi.nlm.nih.gov/gene/5173","5173")</f>
        <v>5173</v>
      </c>
      <c r="B2991" s="1" t="s">
        <v>7034</v>
      </c>
      <c r="C2991" t="s">
        <v>7035</v>
      </c>
      <c r="D2991">
        <v>152.69999999999999</v>
      </c>
      <c r="E2991">
        <v>138.19999999999999</v>
      </c>
      <c r="F2991">
        <v>100</v>
      </c>
      <c r="G2991">
        <v>100</v>
      </c>
      <c r="H2991">
        <v>150.9</v>
      </c>
      <c r="I2991">
        <v>156</v>
      </c>
      <c r="J2991">
        <v>100</v>
      </c>
      <c r="K2991">
        <v>100</v>
      </c>
      <c r="L2991" s="1" t="s">
        <v>7034</v>
      </c>
      <c r="M2991" t="s">
        <v>3127</v>
      </c>
      <c r="N2991">
        <v>3</v>
      </c>
    </row>
    <row r="2992" spans="1:14" x14ac:dyDescent="0.25">
      <c r="A2992" s="3" t="str">
        <f>HYPERLINK("http://www.ncbi.nlm.nih.gov/gene/79955","79955")</f>
        <v>79955</v>
      </c>
      <c r="B2992" s="1" t="s">
        <v>7036</v>
      </c>
      <c r="C2992" t="s">
        <v>7037</v>
      </c>
      <c r="D2992">
        <v>86.2</v>
      </c>
      <c r="E2992">
        <v>86.5</v>
      </c>
      <c r="F2992">
        <v>97</v>
      </c>
      <c r="G2992">
        <v>93</v>
      </c>
      <c r="H2992">
        <v>172.1</v>
      </c>
      <c r="I2992">
        <v>177.1</v>
      </c>
      <c r="J2992">
        <v>100</v>
      </c>
      <c r="K2992">
        <v>99.8</v>
      </c>
      <c r="L2992" s="1" t="s">
        <v>7036</v>
      </c>
      <c r="M2992" t="s">
        <v>780</v>
      </c>
      <c r="N2992">
        <v>4</v>
      </c>
    </row>
    <row r="2993" spans="1:14" x14ac:dyDescent="0.25">
      <c r="A2993" s="3" t="str">
        <f>HYPERLINK("http://www.ncbi.nlm.nih.gov/gene/5184","5184")</f>
        <v>5184</v>
      </c>
      <c r="B2993" s="1" t="s">
        <v>7038</v>
      </c>
      <c r="C2993" t="s">
        <v>7039</v>
      </c>
      <c r="D2993">
        <v>107.2</v>
      </c>
      <c r="E2993">
        <v>109.7</v>
      </c>
      <c r="F2993">
        <v>100</v>
      </c>
      <c r="G2993">
        <v>98.8</v>
      </c>
      <c r="H2993">
        <v>144.1</v>
      </c>
      <c r="I2993">
        <v>148.19999999999999</v>
      </c>
      <c r="J2993">
        <v>100</v>
      </c>
      <c r="K2993">
        <v>100</v>
      </c>
      <c r="L2993" s="1" t="s">
        <v>7038</v>
      </c>
      <c r="M2993" t="s">
        <v>7040</v>
      </c>
      <c r="N2993">
        <v>6</v>
      </c>
    </row>
    <row r="2994" spans="1:14" x14ac:dyDescent="0.25">
      <c r="A2994" s="3" t="str">
        <f>HYPERLINK("http://www.ncbi.nlm.nih.gov/gene/8864","8864")</f>
        <v>8864</v>
      </c>
      <c r="B2994" s="1" t="s">
        <v>7041</v>
      </c>
      <c r="C2994" t="s">
        <v>7042</v>
      </c>
      <c r="D2994">
        <v>104.2</v>
      </c>
      <c r="E2994">
        <v>106</v>
      </c>
      <c r="F2994">
        <v>100</v>
      </c>
      <c r="G2994">
        <v>99.9</v>
      </c>
      <c r="H2994">
        <v>150.4</v>
      </c>
      <c r="I2994">
        <v>154</v>
      </c>
      <c r="J2994">
        <v>100</v>
      </c>
      <c r="K2994">
        <v>100</v>
      </c>
      <c r="L2994" s="1" t="s">
        <v>7041</v>
      </c>
      <c r="M2994" t="s">
        <v>285</v>
      </c>
      <c r="N2994">
        <v>1</v>
      </c>
    </row>
    <row r="2995" spans="1:14" x14ac:dyDescent="0.25">
      <c r="A2995" s="3" t="str">
        <f>HYPERLINK("http://www.ncbi.nlm.nih.gov/gene/8863","8863")</f>
        <v>8863</v>
      </c>
      <c r="B2995" s="1" t="s">
        <v>7043</v>
      </c>
      <c r="C2995" t="s">
        <v>7044</v>
      </c>
      <c r="D2995">
        <v>169.3</v>
      </c>
      <c r="E2995">
        <v>175</v>
      </c>
      <c r="F2995">
        <v>99.9</v>
      </c>
      <c r="G2995">
        <v>98.8</v>
      </c>
      <c r="H2995">
        <v>158.19999999999999</v>
      </c>
      <c r="I2995">
        <v>160.5</v>
      </c>
      <c r="J2995">
        <v>100</v>
      </c>
      <c r="K2995">
        <v>100</v>
      </c>
      <c r="L2995" s="1" t="s">
        <v>7043</v>
      </c>
      <c r="M2995" t="s">
        <v>285</v>
      </c>
      <c r="N2995">
        <v>1</v>
      </c>
    </row>
    <row r="2996" spans="1:14" x14ac:dyDescent="0.25">
      <c r="A2996" s="3" t="str">
        <f>HYPERLINK("http://www.ncbi.nlm.nih.gov/gene/105371045","105371045")</f>
        <v>105371045</v>
      </c>
      <c r="B2996" s="1" t="s">
        <v>7045</v>
      </c>
      <c r="C2996" t="s">
        <v>7046</v>
      </c>
      <c r="D2996">
        <v>1.9</v>
      </c>
      <c r="E2996">
        <v>0.5</v>
      </c>
      <c r="F2996">
        <v>1.8</v>
      </c>
      <c r="G2996">
        <v>0</v>
      </c>
      <c r="H2996">
        <v>152.69999999999999</v>
      </c>
      <c r="I2996">
        <v>150.6</v>
      </c>
      <c r="J2996">
        <v>100</v>
      </c>
      <c r="K2996">
        <v>100</v>
      </c>
      <c r="L2996" s="1" t="s">
        <v>7045</v>
      </c>
      <c r="M2996" t="s">
        <v>22</v>
      </c>
      <c r="N2996">
        <v>1</v>
      </c>
    </row>
    <row r="2997" spans="1:14" x14ac:dyDescent="0.25">
      <c r="A2997" s="3" t="str">
        <f>HYPERLINK("http://www.ncbi.nlm.nih.gov/gene/64065","64065")</f>
        <v>64065</v>
      </c>
      <c r="B2997" s="1" t="s">
        <v>7047</v>
      </c>
      <c r="C2997" t="s">
        <v>7048</v>
      </c>
      <c r="D2997">
        <v>165.7</v>
      </c>
      <c r="E2997">
        <v>177.1</v>
      </c>
      <c r="F2997">
        <v>100</v>
      </c>
      <c r="G2997">
        <v>100</v>
      </c>
      <c r="H2997">
        <v>103.8</v>
      </c>
      <c r="I2997">
        <v>107.9</v>
      </c>
      <c r="J2997">
        <v>100</v>
      </c>
      <c r="K2997">
        <v>100</v>
      </c>
      <c r="L2997" s="1" t="s">
        <v>7047</v>
      </c>
      <c r="M2997" t="s">
        <v>7049</v>
      </c>
      <c r="N2997">
        <v>2</v>
      </c>
    </row>
    <row r="2998" spans="1:14" x14ac:dyDescent="0.25">
      <c r="A2998" s="3" t="str">
        <f>HYPERLINK("http://www.ncbi.nlm.nih.gov/gene/100131801","100131801")</f>
        <v>100131801</v>
      </c>
      <c r="B2998" s="1" t="s">
        <v>7050</v>
      </c>
      <c r="C2998" t="s">
        <v>7051</v>
      </c>
      <c r="D2998">
        <v>105.2</v>
      </c>
      <c r="E2998">
        <v>107.1</v>
      </c>
      <c r="F2998">
        <v>100</v>
      </c>
      <c r="G2998">
        <v>99.6</v>
      </c>
      <c r="H2998">
        <v>145.1</v>
      </c>
      <c r="I2998">
        <v>149.69999999999999</v>
      </c>
      <c r="J2998">
        <v>100</v>
      </c>
      <c r="K2998">
        <v>100</v>
      </c>
      <c r="L2998" s="1" t="s">
        <v>7050</v>
      </c>
      <c r="M2998" t="s">
        <v>2062</v>
      </c>
      <c r="N2998">
        <v>7</v>
      </c>
    </row>
    <row r="2999" spans="1:14" x14ac:dyDescent="0.25">
      <c r="A2999" s="3" t="str">
        <f>HYPERLINK("http://www.ncbi.nlm.nih.gov/gene/100303755","100303755")</f>
        <v>100303755</v>
      </c>
      <c r="B2999" s="1" t="s">
        <v>7052</v>
      </c>
      <c r="C2999" t="s">
        <v>7053</v>
      </c>
      <c r="D2999">
        <v>114.6</v>
      </c>
      <c r="E2999">
        <v>117.9</v>
      </c>
      <c r="F2999">
        <v>100</v>
      </c>
      <c r="G2999">
        <v>100</v>
      </c>
      <c r="H2999">
        <v>102.8</v>
      </c>
      <c r="I2999">
        <v>104.9</v>
      </c>
      <c r="J2999">
        <v>100</v>
      </c>
      <c r="K2999">
        <v>100</v>
      </c>
      <c r="L2999" s="1" t="s">
        <v>7052</v>
      </c>
      <c r="M2999" t="s">
        <v>265</v>
      </c>
      <c r="N2999">
        <v>2</v>
      </c>
    </row>
    <row r="3000" spans="1:14" x14ac:dyDescent="0.25">
      <c r="A3000" s="3" t="str">
        <f>HYPERLINK("http://www.ncbi.nlm.nih.gov/gene/5189","5189")</f>
        <v>5189</v>
      </c>
      <c r="B3000" s="1" t="s">
        <v>7054</v>
      </c>
      <c r="C3000" t="s">
        <v>7055</v>
      </c>
      <c r="D3000">
        <v>151</v>
      </c>
      <c r="E3000">
        <v>155.5</v>
      </c>
      <c r="F3000">
        <v>99.9</v>
      </c>
      <c r="G3000">
        <v>99.4</v>
      </c>
      <c r="H3000">
        <v>126.7</v>
      </c>
      <c r="I3000">
        <v>130</v>
      </c>
      <c r="J3000">
        <v>100</v>
      </c>
      <c r="K3000">
        <v>100</v>
      </c>
      <c r="L3000" s="1" t="s">
        <v>7054</v>
      </c>
      <c r="M3000" t="s">
        <v>7056</v>
      </c>
      <c r="N3000">
        <v>9</v>
      </c>
    </row>
    <row r="3001" spans="1:14" x14ac:dyDescent="0.25">
      <c r="A3001" s="3" t="str">
        <f>HYPERLINK("http://www.ncbi.nlm.nih.gov/gene/5192","5192")</f>
        <v>5192</v>
      </c>
      <c r="B3001" s="1" t="s">
        <v>7057</v>
      </c>
      <c r="C3001" t="s">
        <v>7058</v>
      </c>
      <c r="D3001">
        <v>100.8</v>
      </c>
      <c r="E3001">
        <v>101.8</v>
      </c>
      <c r="F3001">
        <v>96.8</v>
      </c>
      <c r="G3001">
        <v>89.7</v>
      </c>
      <c r="H3001">
        <v>148.6</v>
      </c>
      <c r="I3001">
        <v>153.1</v>
      </c>
      <c r="J3001">
        <v>100</v>
      </c>
      <c r="K3001">
        <v>99.9</v>
      </c>
      <c r="L3001" s="1" t="s">
        <v>7057</v>
      </c>
      <c r="M3001" t="s">
        <v>7059</v>
      </c>
      <c r="N3001">
        <v>8</v>
      </c>
    </row>
    <row r="3002" spans="1:14" x14ac:dyDescent="0.25">
      <c r="A3002" s="3" t="str">
        <f>HYPERLINK("http://www.ncbi.nlm.nih.gov/gene/8799","8799")</f>
        <v>8799</v>
      </c>
      <c r="B3002" s="1" t="s">
        <v>7060</v>
      </c>
      <c r="C3002" t="s">
        <v>7061</v>
      </c>
      <c r="D3002">
        <v>106</v>
      </c>
      <c r="E3002">
        <v>109</v>
      </c>
      <c r="F3002">
        <v>100</v>
      </c>
      <c r="G3002">
        <v>99.6</v>
      </c>
      <c r="H3002">
        <v>131.30000000000001</v>
      </c>
      <c r="I3002">
        <v>134.5</v>
      </c>
      <c r="J3002">
        <v>100</v>
      </c>
      <c r="K3002">
        <v>100</v>
      </c>
      <c r="L3002" s="1" t="s">
        <v>7060</v>
      </c>
      <c r="M3002" t="s">
        <v>38</v>
      </c>
      <c r="N3002">
        <v>4</v>
      </c>
    </row>
    <row r="3003" spans="1:14" x14ac:dyDescent="0.25">
      <c r="A3003" s="3" t="str">
        <f>HYPERLINK("http://www.ncbi.nlm.nih.gov/gene/5193","5193")</f>
        <v>5193</v>
      </c>
      <c r="B3003" s="1" t="s">
        <v>7062</v>
      </c>
      <c r="C3003" t="s">
        <v>7063</v>
      </c>
      <c r="D3003">
        <v>151.30000000000001</v>
      </c>
      <c r="E3003">
        <v>150.69999999999999</v>
      </c>
      <c r="F3003">
        <v>100</v>
      </c>
      <c r="G3003">
        <v>100</v>
      </c>
      <c r="H3003">
        <v>136.4</v>
      </c>
      <c r="I3003">
        <v>139.1</v>
      </c>
      <c r="J3003">
        <v>100</v>
      </c>
      <c r="K3003">
        <v>100</v>
      </c>
      <c r="L3003" s="1" t="s">
        <v>7062</v>
      </c>
      <c r="M3003" t="s">
        <v>7064</v>
      </c>
      <c r="N3003">
        <v>6</v>
      </c>
    </row>
    <row r="3004" spans="1:14" x14ac:dyDescent="0.25">
      <c r="A3004" s="3" t="str">
        <f>HYPERLINK("http://www.ncbi.nlm.nih.gov/gene/5194","5194")</f>
        <v>5194</v>
      </c>
      <c r="B3004" s="1" t="s">
        <v>7065</v>
      </c>
      <c r="C3004" t="s">
        <v>7066</v>
      </c>
      <c r="D3004">
        <v>214.9</v>
      </c>
      <c r="E3004">
        <v>208.9</v>
      </c>
      <c r="F3004">
        <v>100</v>
      </c>
      <c r="G3004">
        <v>100</v>
      </c>
      <c r="H3004">
        <v>139.69999999999999</v>
      </c>
      <c r="I3004">
        <v>142.6</v>
      </c>
      <c r="J3004">
        <v>100</v>
      </c>
      <c r="K3004">
        <v>100</v>
      </c>
      <c r="L3004" s="1" t="s">
        <v>7065</v>
      </c>
      <c r="M3004" t="s">
        <v>7064</v>
      </c>
      <c r="N3004">
        <v>6</v>
      </c>
    </row>
    <row r="3005" spans="1:14" x14ac:dyDescent="0.25">
      <c r="A3005" s="3" t="str">
        <f>HYPERLINK("http://www.ncbi.nlm.nih.gov/gene/5195","5195")</f>
        <v>5195</v>
      </c>
      <c r="B3005" s="1" t="s">
        <v>7067</v>
      </c>
      <c r="C3005" t="s">
        <v>7068</v>
      </c>
      <c r="D3005">
        <v>157.5</v>
      </c>
      <c r="E3005">
        <v>132.69999999999999</v>
      </c>
      <c r="F3005">
        <v>96.7</v>
      </c>
      <c r="G3005">
        <v>90.8</v>
      </c>
      <c r="H3005">
        <v>136.69999999999999</v>
      </c>
      <c r="I3005">
        <v>136.19999999999999</v>
      </c>
      <c r="J3005">
        <v>100</v>
      </c>
      <c r="K3005">
        <v>100</v>
      </c>
      <c r="L3005" s="1" t="s">
        <v>7067</v>
      </c>
      <c r="M3005" t="s">
        <v>7069</v>
      </c>
      <c r="N3005">
        <v>5</v>
      </c>
    </row>
    <row r="3006" spans="1:14" x14ac:dyDescent="0.25">
      <c r="A3006" s="3" t="str">
        <f>HYPERLINK("http://www.ncbi.nlm.nih.gov/gene/9409","9409")</f>
        <v>9409</v>
      </c>
      <c r="B3006" s="1" t="s">
        <v>7070</v>
      </c>
      <c r="C3006" t="s">
        <v>7071</v>
      </c>
      <c r="D3006">
        <v>154.9</v>
      </c>
      <c r="E3006">
        <v>158.6</v>
      </c>
      <c r="F3006">
        <v>97.9</v>
      </c>
      <c r="G3006">
        <v>94.2</v>
      </c>
      <c r="H3006">
        <v>138.19999999999999</v>
      </c>
      <c r="I3006">
        <v>140.69999999999999</v>
      </c>
      <c r="J3006">
        <v>100</v>
      </c>
      <c r="K3006">
        <v>100</v>
      </c>
      <c r="L3006" s="1" t="s">
        <v>7070</v>
      </c>
      <c r="M3006" t="s">
        <v>7072</v>
      </c>
      <c r="N3006">
        <v>8</v>
      </c>
    </row>
    <row r="3007" spans="1:14" x14ac:dyDescent="0.25">
      <c r="A3007" s="3" t="str">
        <f>HYPERLINK("http://www.ncbi.nlm.nih.gov/gene/5824","5824")</f>
        <v>5824</v>
      </c>
      <c r="B3007" s="1" t="s">
        <v>7073</v>
      </c>
      <c r="C3007" t="s">
        <v>7074</v>
      </c>
      <c r="D3007">
        <v>99.7</v>
      </c>
      <c r="E3007">
        <v>103.7</v>
      </c>
      <c r="F3007">
        <v>99.9</v>
      </c>
      <c r="G3007">
        <v>98.5</v>
      </c>
      <c r="H3007">
        <v>136.5</v>
      </c>
      <c r="I3007">
        <v>139.6</v>
      </c>
      <c r="J3007">
        <v>100</v>
      </c>
      <c r="K3007">
        <v>100</v>
      </c>
      <c r="L3007" s="1" t="s">
        <v>7073</v>
      </c>
      <c r="M3007" t="s">
        <v>7064</v>
      </c>
      <c r="N3007">
        <v>6</v>
      </c>
    </row>
    <row r="3008" spans="1:14" x14ac:dyDescent="0.25">
      <c r="A3008" s="3" t="str">
        <f>HYPERLINK("http://www.ncbi.nlm.nih.gov/gene/5828","5828")</f>
        <v>5828</v>
      </c>
      <c r="B3008" s="1" t="s">
        <v>7075</v>
      </c>
      <c r="C3008" t="s">
        <v>7076</v>
      </c>
      <c r="D3008">
        <v>175</v>
      </c>
      <c r="E3008">
        <v>158.80000000000001</v>
      </c>
      <c r="F3008">
        <v>100</v>
      </c>
      <c r="G3008">
        <v>100</v>
      </c>
      <c r="H3008">
        <v>167.6</v>
      </c>
      <c r="I3008">
        <v>166</v>
      </c>
      <c r="J3008">
        <v>100</v>
      </c>
      <c r="K3008">
        <v>100</v>
      </c>
      <c r="L3008" s="1" t="s">
        <v>7075</v>
      </c>
      <c r="M3008" t="s">
        <v>7077</v>
      </c>
      <c r="N3008">
        <v>7</v>
      </c>
    </row>
    <row r="3009" spans="1:14" x14ac:dyDescent="0.25">
      <c r="A3009" s="3" t="str">
        <f>HYPERLINK("http://www.ncbi.nlm.nih.gov/gene/55670","55670")</f>
        <v>55670</v>
      </c>
      <c r="B3009" s="1" t="s">
        <v>7078</v>
      </c>
      <c r="C3009" t="s">
        <v>7079</v>
      </c>
      <c r="D3009">
        <v>94.8</v>
      </c>
      <c r="E3009">
        <v>94</v>
      </c>
      <c r="F3009">
        <v>100</v>
      </c>
      <c r="G3009">
        <v>100</v>
      </c>
      <c r="H3009">
        <v>132.6</v>
      </c>
      <c r="I3009">
        <v>137.80000000000001</v>
      </c>
      <c r="J3009">
        <v>100</v>
      </c>
      <c r="K3009">
        <v>100</v>
      </c>
      <c r="L3009" s="1" t="s">
        <v>7078</v>
      </c>
      <c r="M3009" t="s">
        <v>7080</v>
      </c>
      <c r="N3009">
        <v>8</v>
      </c>
    </row>
    <row r="3010" spans="1:14" x14ac:dyDescent="0.25">
      <c r="A3010" s="3" t="str">
        <f>HYPERLINK("http://www.ncbi.nlm.nih.gov/gene/8504","8504")</f>
        <v>8504</v>
      </c>
      <c r="B3010" s="1" t="s">
        <v>7081</v>
      </c>
      <c r="C3010" t="s">
        <v>7082</v>
      </c>
      <c r="D3010">
        <v>123.9</v>
      </c>
      <c r="E3010">
        <v>125.7</v>
      </c>
      <c r="F3010">
        <v>100</v>
      </c>
      <c r="G3010">
        <v>99.3</v>
      </c>
      <c r="H3010">
        <v>115.6</v>
      </c>
      <c r="I3010">
        <v>117.7</v>
      </c>
      <c r="J3010">
        <v>100</v>
      </c>
      <c r="K3010">
        <v>100</v>
      </c>
      <c r="L3010" s="1" t="s">
        <v>7081</v>
      </c>
      <c r="M3010" t="s">
        <v>7064</v>
      </c>
      <c r="N3010">
        <v>6</v>
      </c>
    </row>
    <row r="3011" spans="1:14" x14ac:dyDescent="0.25">
      <c r="A3011" s="3" t="str">
        <f>HYPERLINK("http://www.ncbi.nlm.nih.gov/gene/5830","5830")</f>
        <v>5830</v>
      </c>
      <c r="B3011" s="1" t="s">
        <v>7083</v>
      </c>
      <c r="C3011" t="s">
        <v>7084</v>
      </c>
      <c r="D3011">
        <v>119.2</v>
      </c>
      <c r="E3011">
        <v>124</v>
      </c>
      <c r="F3011">
        <v>99.9</v>
      </c>
      <c r="G3011">
        <v>99</v>
      </c>
      <c r="H3011">
        <v>141</v>
      </c>
      <c r="I3011">
        <v>145.1</v>
      </c>
      <c r="J3011">
        <v>100</v>
      </c>
      <c r="K3011">
        <v>100</v>
      </c>
      <c r="L3011" s="1" t="s">
        <v>7083</v>
      </c>
      <c r="M3011" t="s">
        <v>7085</v>
      </c>
      <c r="N3011">
        <v>8</v>
      </c>
    </row>
    <row r="3012" spans="1:14" x14ac:dyDescent="0.25">
      <c r="A3012" s="3" t="str">
        <f>HYPERLINK("http://www.ncbi.nlm.nih.gov/gene/5190","5190")</f>
        <v>5190</v>
      </c>
      <c r="B3012" s="1" t="s">
        <v>7086</v>
      </c>
      <c r="C3012" t="s">
        <v>7087</v>
      </c>
      <c r="D3012">
        <v>120.5</v>
      </c>
      <c r="E3012">
        <v>113</v>
      </c>
      <c r="F3012">
        <v>94.5</v>
      </c>
      <c r="G3012">
        <v>86.7</v>
      </c>
      <c r="H3012">
        <v>139.5</v>
      </c>
      <c r="I3012">
        <v>142.1</v>
      </c>
      <c r="J3012">
        <v>100</v>
      </c>
      <c r="K3012">
        <v>100</v>
      </c>
      <c r="L3012" s="1" t="s">
        <v>7086</v>
      </c>
      <c r="M3012" t="s">
        <v>7088</v>
      </c>
      <c r="N3012">
        <v>9</v>
      </c>
    </row>
    <row r="3013" spans="1:14" x14ac:dyDescent="0.25">
      <c r="A3013" s="3" t="str">
        <f>HYPERLINK("http://www.ncbi.nlm.nih.gov/gene/5191","5191")</f>
        <v>5191</v>
      </c>
      <c r="B3013" s="1" t="s">
        <v>7089</v>
      </c>
      <c r="C3013" t="s">
        <v>7090</v>
      </c>
      <c r="D3013">
        <v>132.9</v>
      </c>
      <c r="E3013">
        <v>135.9</v>
      </c>
      <c r="F3013">
        <v>87.8</v>
      </c>
      <c r="G3013">
        <v>80.7</v>
      </c>
      <c r="H3013">
        <v>114.4</v>
      </c>
      <c r="I3013">
        <v>117.3</v>
      </c>
      <c r="J3013">
        <v>91.3</v>
      </c>
      <c r="K3013">
        <v>91.3</v>
      </c>
      <c r="L3013" s="1" t="s">
        <v>7089</v>
      </c>
      <c r="M3013" t="s">
        <v>7091</v>
      </c>
      <c r="N3013">
        <v>11</v>
      </c>
    </row>
    <row r="3014" spans="1:14" x14ac:dyDescent="0.25">
      <c r="A3014" s="3" t="str">
        <f>HYPERLINK("http://www.ncbi.nlm.nih.gov/gene/5213","5213")</f>
        <v>5213</v>
      </c>
      <c r="B3014" s="1" t="s">
        <v>7092</v>
      </c>
      <c r="C3014" t="s">
        <v>7093</v>
      </c>
      <c r="D3014">
        <v>131.5</v>
      </c>
      <c r="E3014">
        <v>135.4</v>
      </c>
      <c r="F3014">
        <v>100</v>
      </c>
      <c r="G3014">
        <v>99.5</v>
      </c>
      <c r="H3014">
        <v>137.4</v>
      </c>
      <c r="I3014">
        <v>140.4</v>
      </c>
      <c r="J3014">
        <v>100</v>
      </c>
      <c r="K3014">
        <v>100</v>
      </c>
      <c r="L3014" s="1" t="s">
        <v>7092</v>
      </c>
      <c r="M3014" t="s">
        <v>3934</v>
      </c>
      <c r="N3014">
        <v>4</v>
      </c>
    </row>
    <row r="3015" spans="1:14" x14ac:dyDescent="0.25">
      <c r="A3015" s="3" t="str">
        <f>HYPERLINK("http://www.ncbi.nlm.nih.gov/gene/5216","5216")</f>
        <v>5216</v>
      </c>
      <c r="B3015" s="1" t="s">
        <v>7094</v>
      </c>
      <c r="C3015" t="s">
        <v>7095</v>
      </c>
      <c r="D3015">
        <v>169.8</v>
      </c>
      <c r="E3015">
        <v>176.9</v>
      </c>
      <c r="F3015">
        <v>100</v>
      </c>
      <c r="G3015">
        <v>100</v>
      </c>
      <c r="H3015">
        <v>155.5</v>
      </c>
      <c r="I3015">
        <v>158.9</v>
      </c>
      <c r="J3015">
        <v>100</v>
      </c>
      <c r="K3015">
        <v>100</v>
      </c>
      <c r="L3015" s="1" t="s">
        <v>7094</v>
      </c>
      <c r="M3015" t="s">
        <v>7096</v>
      </c>
      <c r="N3015">
        <v>2</v>
      </c>
    </row>
    <row r="3016" spans="1:14" x14ac:dyDescent="0.25">
      <c r="A3016" s="3" t="str">
        <f>HYPERLINK("http://www.ncbi.nlm.nih.gov/gene/5224","5224")</f>
        <v>5224</v>
      </c>
      <c r="B3016" s="1" t="s">
        <v>7097</v>
      </c>
      <c r="C3016" t="s">
        <v>7098</v>
      </c>
      <c r="D3016">
        <v>169.9</v>
      </c>
      <c r="E3016">
        <v>168.8</v>
      </c>
      <c r="F3016">
        <v>100</v>
      </c>
      <c r="G3016">
        <v>100</v>
      </c>
      <c r="H3016">
        <v>171.1</v>
      </c>
      <c r="I3016">
        <v>177.3</v>
      </c>
      <c r="J3016">
        <v>100</v>
      </c>
      <c r="K3016">
        <v>100</v>
      </c>
      <c r="L3016" s="1" t="s">
        <v>7097</v>
      </c>
      <c r="M3016" t="s">
        <v>3934</v>
      </c>
      <c r="N3016">
        <v>4</v>
      </c>
    </row>
    <row r="3017" spans="1:14" x14ac:dyDescent="0.25">
      <c r="A3017" s="3" t="str">
        <f>HYPERLINK("http://www.ncbi.nlm.nih.gov/gene/80055","80055")</f>
        <v>80055</v>
      </c>
      <c r="B3017" s="1" t="s">
        <v>7099</v>
      </c>
      <c r="C3017" t="s">
        <v>7100</v>
      </c>
      <c r="D3017">
        <v>125</v>
      </c>
      <c r="E3017">
        <v>129.1</v>
      </c>
      <c r="F3017">
        <v>99</v>
      </c>
      <c r="G3017">
        <v>94.4</v>
      </c>
      <c r="H3017">
        <v>120.4</v>
      </c>
      <c r="I3017">
        <v>123.9</v>
      </c>
      <c r="J3017">
        <v>100</v>
      </c>
      <c r="K3017">
        <v>100</v>
      </c>
      <c r="L3017" s="1" t="s">
        <v>7099</v>
      </c>
      <c r="M3017" t="s">
        <v>38</v>
      </c>
      <c r="N3017">
        <v>4</v>
      </c>
    </row>
    <row r="3018" spans="1:14" x14ac:dyDescent="0.25">
      <c r="A3018" s="3" t="str">
        <f>HYPERLINK("http://www.ncbi.nlm.nih.gov/gene/27315","27315")</f>
        <v>27315</v>
      </c>
      <c r="B3018" s="1" t="s">
        <v>7101</v>
      </c>
      <c r="C3018" t="s">
        <v>7102</v>
      </c>
      <c r="D3018">
        <v>147.6</v>
      </c>
      <c r="E3018">
        <v>157.80000000000001</v>
      </c>
      <c r="F3018">
        <v>100</v>
      </c>
      <c r="G3018">
        <v>99.9</v>
      </c>
      <c r="H3018">
        <v>156.69999999999999</v>
      </c>
      <c r="I3018">
        <v>162.1</v>
      </c>
      <c r="J3018">
        <v>100</v>
      </c>
      <c r="K3018">
        <v>100</v>
      </c>
      <c r="L3018" s="1" t="s">
        <v>7101</v>
      </c>
      <c r="M3018" t="s">
        <v>38</v>
      </c>
      <c r="N3018">
        <v>4</v>
      </c>
    </row>
    <row r="3019" spans="1:14" x14ac:dyDescent="0.25">
      <c r="A3019" s="3" t="str">
        <f>HYPERLINK("http://www.ncbi.nlm.nih.gov/gene/93210","93210")</f>
        <v>93210</v>
      </c>
      <c r="B3019" s="1" t="s">
        <v>7103</v>
      </c>
      <c r="C3019" t="s">
        <v>7104</v>
      </c>
      <c r="D3019">
        <v>71.2</v>
      </c>
      <c r="E3019">
        <v>70.599999999999994</v>
      </c>
      <c r="F3019">
        <v>63.5</v>
      </c>
      <c r="G3019">
        <v>59.6</v>
      </c>
      <c r="H3019">
        <v>148.5</v>
      </c>
      <c r="I3019">
        <v>151.6</v>
      </c>
      <c r="J3019">
        <v>100</v>
      </c>
      <c r="K3019">
        <v>100</v>
      </c>
      <c r="L3019" s="1" t="s">
        <v>7103</v>
      </c>
      <c r="M3019" t="s">
        <v>214</v>
      </c>
      <c r="N3019">
        <v>5</v>
      </c>
    </row>
    <row r="3020" spans="1:14" x14ac:dyDescent="0.25">
      <c r="A3020" s="3" t="str">
        <f>HYPERLINK("http://www.ncbi.nlm.nih.gov/gene/5230","5230")</f>
        <v>5230</v>
      </c>
      <c r="B3020" s="1" t="s">
        <v>7105</v>
      </c>
      <c r="C3020" t="s">
        <v>7106</v>
      </c>
      <c r="D3020">
        <v>50.8</v>
      </c>
      <c r="E3020">
        <v>50.7</v>
      </c>
      <c r="F3020">
        <v>92.8</v>
      </c>
      <c r="G3020">
        <v>79.3</v>
      </c>
      <c r="H3020">
        <v>130.4</v>
      </c>
      <c r="I3020">
        <v>133.4</v>
      </c>
      <c r="J3020">
        <v>100</v>
      </c>
      <c r="K3020">
        <v>100</v>
      </c>
      <c r="L3020" s="1" t="s">
        <v>7105</v>
      </c>
      <c r="M3020" t="s">
        <v>7107</v>
      </c>
      <c r="N3020">
        <v>5</v>
      </c>
    </row>
    <row r="3021" spans="1:14" x14ac:dyDescent="0.25">
      <c r="A3021" s="3" t="str">
        <f>HYPERLINK("http://www.ncbi.nlm.nih.gov/gene/5236","5236")</f>
        <v>5236</v>
      </c>
      <c r="B3021" s="1" t="s">
        <v>7108</v>
      </c>
      <c r="C3021" t="s">
        <v>7109</v>
      </c>
      <c r="D3021">
        <v>140.1</v>
      </c>
      <c r="E3021">
        <v>147.69999999999999</v>
      </c>
      <c r="F3021">
        <v>94.2</v>
      </c>
      <c r="G3021">
        <v>94.2</v>
      </c>
      <c r="H3021">
        <v>124.4</v>
      </c>
      <c r="I3021">
        <v>128.19999999999999</v>
      </c>
      <c r="J3021">
        <v>94.2</v>
      </c>
      <c r="K3021">
        <v>94.2</v>
      </c>
      <c r="L3021" s="1" t="s">
        <v>7108</v>
      </c>
      <c r="M3021" t="s">
        <v>7110</v>
      </c>
      <c r="N3021">
        <v>7</v>
      </c>
    </row>
    <row r="3022" spans="1:14" x14ac:dyDescent="0.25">
      <c r="A3022" s="3" t="str">
        <f>HYPERLINK("http://www.ncbi.nlm.nih.gov/gene/5238","5238")</f>
        <v>5238</v>
      </c>
      <c r="B3022" s="1" t="s">
        <v>7111</v>
      </c>
      <c r="C3022" t="s">
        <v>7112</v>
      </c>
      <c r="D3022">
        <v>171.8</v>
      </c>
      <c r="E3022">
        <v>177</v>
      </c>
      <c r="F3022">
        <v>100</v>
      </c>
      <c r="G3022">
        <v>99.8</v>
      </c>
      <c r="H3022">
        <v>135.9</v>
      </c>
      <c r="I3022">
        <v>139.5</v>
      </c>
      <c r="J3022">
        <v>91.7</v>
      </c>
      <c r="K3022">
        <v>91.7</v>
      </c>
      <c r="L3022" s="1" t="s">
        <v>7111</v>
      </c>
      <c r="M3022" t="s">
        <v>2853</v>
      </c>
      <c r="N3022">
        <v>5</v>
      </c>
    </row>
    <row r="3023" spans="1:14" x14ac:dyDescent="0.25">
      <c r="A3023" s="3" t="str">
        <f>HYPERLINK("http://www.ncbi.nlm.nih.gov/gene/221692","221692")</f>
        <v>221692</v>
      </c>
      <c r="B3023" s="1" t="s">
        <v>7113</v>
      </c>
      <c r="C3023" t="s">
        <v>7114</v>
      </c>
      <c r="D3023">
        <v>116</v>
      </c>
      <c r="E3023">
        <v>118.9</v>
      </c>
      <c r="F3023">
        <v>100</v>
      </c>
      <c r="G3023">
        <v>99.7</v>
      </c>
      <c r="H3023">
        <v>130.80000000000001</v>
      </c>
      <c r="I3023">
        <v>135.6</v>
      </c>
      <c r="J3023">
        <v>100</v>
      </c>
      <c r="K3023">
        <v>100</v>
      </c>
      <c r="L3023" s="1" t="s">
        <v>7113</v>
      </c>
      <c r="M3023" t="s">
        <v>2714</v>
      </c>
      <c r="N3023">
        <v>3</v>
      </c>
    </row>
    <row r="3024" spans="1:14" x14ac:dyDescent="0.25">
      <c r="A3024" s="3" t="str">
        <f>HYPERLINK("http://www.ncbi.nlm.nih.gov/gene/1911","1911")</f>
        <v>1911</v>
      </c>
      <c r="B3024" s="1" t="s">
        <v>7115</v>
      </c>
      <c r="C3024" t="s">
        <v>7116</v>
      </c>
      <c r="D3024">
        <v>205.2</v>
      </c>
      <c r="E3024">
        <v>201.9</v>
      </c>
      <c r="F3024">
        <v>99.9</v>
      </c>
      <c r="G3024">
        <v>99.2</v>
      </c>
      <c r="H3024">
        <v>159.4</v>
      </c>
      <c r="I3024">
        <v>159.4</v>
      </c>
      <c r="J3024">
        <v>100</v>
      </c>
      <c r="K3024">
        <v>100</v>
      </c>
      <c r="L3024" s="1" t="s">
        <v>7115</v>
      </c>
      <c r="M3024" t="s">
        <v>59</v>
      </c>
      <c r="N3024">
        <v>1</v>
      </c>
    </row>
    <row r="3025" spans="1:14" x14ac:dyDescent="0.25">
      <c r="A3025" s="3" t="str">
        <f>HYPERLINK("http://www.ncbi.nlm.nih.gov/gene/5251","5251")</f>
        <v>5251</v>
      </c>
      <c r="B3025" s="1" t="s">
        <v>7117</v>
      </c>
      <c r="C3025" t="s">
        <v>7118</v>
      </c>
      <c r="D3025">
        <v>127.9</v>
      </c>
      <c r="E3025">
        <v>131.6</v>
      </c>
      <c r="F3025">
        <v>100</v>
      </c>
      <c r="G3025">
        <v>99.6</v>
      </c>
      <c r="H3025">
        <v>115.2</v>
      </c>
      <c r="I3025">
        <v>117.8</v>
      </c>
      <c r="J3025">
        <v>99.9</v>
      </c>
      <c r="K3025">
        <v>99.2</v>
      </c>
      <c r="L3025" s="1" t="s">
        <v>7117</v>
      </c>
      <c r="M3025" t="s">
        <v>7119</v>
      </c>
      <c r="N3025">
        <v>4</v>
      </c>
    </row>
    <row r="3026" spans="1:14" x14ac:dyDescent="0.25">
      <c r="A3026" s="3" t="str">
        <f>HYPERLINK("http://www.ncbi.nlm.nih.gov/gene/51317","51317")</f>
        <v>51317</v>
      </c>
      <c r="B3026" s="1" t="s">
        <v>7120</v>
      </c>
      <c r="C3026" t="s">
        <v>7121</v>
      </c>
      <c r="D3026">
        <v>116.9</v>
      </c>
      <c r="E3026">
        <v>120.9</v>
      </c>
      <c r="F3026">
        <v>100</v>
      </c>
      <c r="G3026">
        <v>99.9</v>
      </c>
      <c r="H3026">
        <v>149.1</v>
      </c>
      <c r="I3026">
        <v>154.4</v>
      </c>
      <c r="J3026">
        <v>100</v>
      </c>
      <c r="K3026">
        <v>100</v>
      </c>
      <c r="L3026" s="1" t="s">
        <v>7120</v>
      </c>
      <c r="M3026" t="s">
        <v>189</v>
      </c>
      <c r="N3026">
        <v>2</v>
      </c>
    </row>
    <row r="3027" spans="1:14" x14ac:dyDescent="0.25">
      <c r="A3027" s="3" t="str">
        <f>HYPERLINK("http://www.ncbi.nlm.nih.gov/gene/84295","84295")</f>
        <v>84295</v>
      </c>
      <c r="B3027" s="1" t="s">
        <v>7122</v>
      </c>
      <c r="C3027" t="s">
        <v>7123</v>
      </c>
      <c r="D3027">
        <v>66</v>
      </c>
      <c r="E3027">
        <v>68.5</v>
      </c>
      <c r="F3027">
        <v>97.8</v>
      </c>
      <c r="G3027">
        <v>88.3</v>
      </c>
      <c r="H3027">
        <v>99.2</v>
      </c>
      <c r="I3027">
        <v>102.3</v>
      </c>
      <c r="J3027">
        <v>99.9</v>
      </c>
      <c r="K3027">
        <v>98.9</v>
      </c>
      <c r="L3027" s="1" t="s">
        <v>7122</v>
      </c>
      <c r="M3027" t="s">
        <v>6874</v>
      </c>
      <c r="N3027">
        <v>3</v>
      </c>
    </row>
    <row r="3028" spans="1:14" x14ac:dyDescent="0.25">
      <c r="A3028" s="3" t="str">
        <f>HYPERLINK("http://www.ncbi.nlm.nih.gov/gene/23133","23133")</f>
        <v>23133</v>
      </c>
      <c r="B3028" s="1" t="s">
        <v>7124</v>
      </c>
      <c r="C3028" t="s">
        <v>7125</v>
      </c>
      <c r="D3028">
        <v>87.9</v>
      </c>
      <c r="E3028">
        <v>90.9</v>
      </c>
      <c r="F3028">
        <v>99.7</v>
      </c>
      <c r="G3028">
        <v>96.8</v>
      </c>
      <c r="H3028">
        <v>138.19999999999999</v>
      </c>
      <c r="I3028">
        <v>142.4</v>
      </c>
      <c r="J3028">
        <v>100</v>
      </c>
      <c r="K3028">
        <v>100</v>
      </c>
      <c r="L3028" s="1" t="s">
        <v>7124</v>
      </c>
      <c r="M3028" t="s">
        <v>7126</v>
      </c>
      <c r="N3028">
        <v>3</v>
      </c>
    </row>
    <row r="3029" spans="1:14" x14ac:dyDescent="0.25">
      <c r="A3029" s="3" t="str">
        <f>HYPERLINK("http://www.ncbi.nlm.nih.gov/gene/26227","26227")</f>
        <v>26227</v>
      </c>
      <c r="B3029" s="1" t="s">
        <v>7127</v>
      </c>
      <c r="C3029" t="s">
        <v>7128</v>
      </c>
      <c r="D3029">
        <v>112</v>
      </c>
      <c r="E3029">
        <v>116.1</v>
      </c>
      <c r="F3029">
        <v>99.9</v>
      </c>
      <c r="G3029">
        <v>98.8</v>
      </c>
      <c r="H3029">
        <v>143.9</v>
      </c>
      <c r="I3029">
        <v>148.5</v>
      </c>
      <c r="J3029">
        <v>100</v>
      </c>
      <c r="K3029">
        <v>100</v>
      </c>
      <c r="L3029" s="1" t="s">
        <v>7127</v>
      </c>
      <c r="M3029" t="s">
        <v>7129</v>
      </c>
      <c r="N3029">
        <v>9</v>
      </c>
    </row>
    <row r="3030" spans="1:14" x14ac:dyDescent="0.25">
      <c r="A3030" s="3" t="str">
        <f>HYPERLINK("http://www.ncbi.nlm.nih.gov/gene/55023","55023")</f>
        <v>55023</v>
      </c>
      <c r="B3030" s="1" t="s">
        <v>7130</v>
      </c>
      <c r="C3030" t="s">
        <v>7131</v>
      </c>
      <c r="D3030">
        <v>148</v>
      </c>
      <c r="E3030">
        <v>154.6</v>
      </c>
      <c r="F3030">
        <v>98.6</v>
      </c>
      <c r="G3030">
        <v>96.1</v>
      </c>
      <c r="H3030">
        <v>128.5</v>
      </c>
      <c r="I3030">
        <v>131.6</v>
      </c>
      <c r="J3030">
        <v>100</v>
      </c>
      <c r="K3030">
        <v>99.7</v>
      </c>
      <c r="L3030" s="1" t="s">
        <v>7130</v>
      </c>
      <c r="M3030" t="s">
        <v>189</v>
      </c>
      <c r="N3030">
        <v>2</v>
      </c>
    </row>
    <row r="3031" spans="1:14" x14ac:dyDescent="0.25">
      <c r="A3031" s="3" t="str">
        <f>HYPERLINK("http://www.ncbi.nlm.nih.gov/gene/5255","5255")</f>
        <v>5255</v>
      </c>
      <c r="B3031" s="1" t="s">
        <v>7132</v>
      </c>
      <c r="C3031" t="s">
        <v>7133</v>
      </c>
      <c r="D3031">
        <v>110.3</v>
      </c>
      <c r="E3031">
        <v>113.5</v>
      </c>
      <c r="F3031">
        <v>99.2</v>
      </c>
      <c r="G3031">
        <v>95.3</v>
      </c>
      <c r="H3031">
        <v>125.9</v>
      </c>
      <c r="I3031">
        <v>129.19999999999999</v>
      </c>
      <c r="J3031">
        <v>100</v>
      </c>
      <c r="K3031">
        <v>99.9</v>
      </c>
      <c r="L3031" s="1" t="s">
        <v>7132</v>
      </c>
      <c r="M3031" t="s">
        <v>7134</v>
      </c>
      <c r="N3031">
        <v>4</v>
      </c>
    </row>
    <row r="3032" spans="1:14" x14ac:dyDescent="0.25">
      <c r="A3032" s="3" t="str">
        <f>HYPERLINK("http://www.ncbi.nlm.nih.gov/gene/5256","5256")</f>
        <v>5256</v>
      </c>
      <c r="B3032" s="1" t="s">
        <v>7135</v>
      </c>
      <c r="C3032" t="s">
        <v>7136</v>
      </c>
      <c r="D3032">
        <v>108.8</v>
      </c>
      <c r="E3032">
        <v>112.3</v>
      </c>
      <c r="F3032">
        <v>100</v>
      </c>
      <c r="G3032">
        <v>99.7</v>
      </c>
      <c r="H3032">
        <v>131.9</v>
      </c>
      <c r="I3032">
        <v>135</v>
      </c>
      <c r="J3032">
        <v>100</v>
      </c>
      <c r="K3032">
        <v>99.6</v>
      </c>
      <c r="L3032" s="1" t="s">
        <v>7135</v>
      </c>
      <c r="M3032" t="s">
        <v>7137</v>
      </c>
      <c r="N3032">
        <v>2</v>
      </c>
    </row>
    <row r="3033" spans="1:14" x14ac:dyDescent="0.25">
      <c r="A3033" s="3" t="str">
        <f>HYPERLINK("http://www.ncbi.nlm.nih.gov/gene/5257","5257")</f>
        <v>5257</v>
      </c>
      <c r="B3033" s="1" t="s">
        <v>7138</v>
      </c>
      <c r="D3033">
        <v>147.4</v>
      </c>
      <c r="E3033">
        <v>151.1</v>
      </c>
      <c r="F3033">
        <v>99.9</v>
      </c>
      <c r="G3033">
        <v>99.2</v>
      </c>
      <c r="H3033">
        <v>123.9</v>
      </c>
      <c r="I3033">
        <v>126.7</v>
      </c>
      <c r="J3033">
        <v>100</v>
      </c>
      <c r="K3033">
        <v>100</v>
      </c>
      <c r="L3033" s="1" t="s">
        <v>7138</v>
      </c>
      <c r="M3033" t="s">
        <v>7139</v>
      </c>
      <c r="N3033">
        <v>3</v>
      </c>
    </row>
    <row r="3034" spans="1:14" x14ac:dyDescent="0.25">
      <c r="A3034" s="3" t="str">
        <f>HYPERLINK("http://www.ncbi.nlm.nih.gov/gene/5260","5260")</f>
        <v>5260</v>
      </c>
      <c r="B3034" s="1" t="s">
        <v>7140</v>
      </c>
      <c r="C3034" t="s">
        <v>7141</v>
      </c>
      <c r="D3034">
        <v>112.8</v>
      </c>
      <c r="E3034">
        <v>114.4</v>
      </c>
      <c r="F3034">
        <v>99.9</v>
      </c>
      <c r="G3034">
        <v>97.8</v>
      </c>
      <c r="H3034">
        <v>139.80000000000001</v>
      </c>
      <c r="I3034">
        <v>143</v>
      </c>
      <c r="J3034">
        <v>100</v>
      </c>
      <c r="K3034">
        <v>100</v>
      </c>
      <c r="L3034" s="1" t="s">
        <v>7140</v>
      </c>
      <c r="M3034" t="s">
        <v>93</v>
      </c>
      <c r="N3034">
        <v>2</v>
      </c>
    </row>
    <row r="3035" spans="1:14" x14ac:dyDescent="0.25">
      <c r="A3035" s="3" t="str">
        <f>HYPERLINK("http://www.ncbi.nlm.nih.gov/gene/5261","5261")</f>
        <v>5261</v>
      </c>
      <c r="B3035" s="1" t="s">
        <v>7142</v>
      </c>
      <c r="C3035" t="s">
        <v>7143</v>
      </c>
      <c r="D3035">
        <v>165.1</v>
      </c>
      <c r="E3035">
        <v>169.5</v>
      </c>
      <c r="F3035">
        <v>100</v>
      </c>
      <c r="G3035">
        <v>99.9</v>
      </c>
      <c r="H3035">
        <v>142.30000000000001</v>
      </c>
      <c r="I3035">
        <v>145.6</v>
      </c>
      <c r="J3035">
        <v>100</v>
      </c>
      <c r="K3035">
        <v>100</v>
      </c>
      <c r="L3035" s="1" t="s">
        <v>7142</v>
      </c>
      <c r="M3035" t="s">
        <v>116</v>
      </c>
      <c r="N3035">
        <v>3</v>
      </c>
    </row>
    <row r="3036" spans="1:14" x14ac:dyDescent="0.25">
      <c r="A3036" s="3" t="str">
        <f>HYPERLINK("http://www.ncbi.nlm.nih.gov/gene/401","401")</f>
        <v>401</v>
      </c>
      <c r="B3036" s="1" t="s">
        <v>7144</v>
      </c>
      <c r="C3036" t="s">
        <v>7145</v>
      </c>
      <c r="D3036">
        <v>35.9</v>
      </c>
      <c r="E3036">
        <v>36.9</v>
      </c>
      <c r="F3036">
        <v>91.6</v>
      </c>
      <c r="G3036">
        <v>72.7</v>
      </c>
      <c r="H3036">
        <v>101.3</v>
      </c>
      <c r="I3036">
        <v>105.7</v>
      </c>
      <c r="J3036">
        <v>100</v>
      </c>
      <c r="K3036">
        <v>99.8</v>
      </c>
      <c r="L3036" s="1" t="s">
        <v>7144</v>
      </c>
      <c r="M3036" t="s">
        <v>7146</v>
      </c>
      <c r="N3036">
        <v>4</v>
      </c>
    </row>
    <row r="3037" spans="1:14" x14ac:dyDescent="0.25">
      <c r="A3037" s="3" t="str">
        <f>HYPERLINK("http://www.ncbi.nlm.nih.gov/gene/8929","8929")</f>
        <v>8929</v>
      </c>
      <c r="B3037" s="1" t="s">
        <v>7147</v>
      </c>
      <c r="C3037" t="s">
        <v>7148</v>
      </c>
      <c r="D3037">
        <v>129.9</v>
      </c>
      <c r="E3037">
        <v>117.2</v>
      </c>
      <c r="F3037">
        <v>100</v>
      </c>
      <c r="G3037">
        <v>99.7</v>
      </c>
      <c r="H3037">
        <v>135.1</v>
      </c>
      <c r="I3037">
        <v>143.5</v>
      </c>
      <c r="J3037">
        <v>99.5</v>
      </c>
      <c r="K3037">
        <v>97.8</v>
      </c>
      <c r="L3037" s="1" t="s">
        <v>7147</v>
      </c>
      <c r="M3037" t="s">
        <v>19</v>
      </c>
      <c r="N3037">
        <v>2</v>
      </c>
    </row>
    <row r="3038" spans="1:14" x14ac:dyDescent="0.25">
      <c r="A3038" s="3" t="str">
        <f>HYPERLINK("http://www.ncbi.nlm.nih.gov/gene/5264","5264")</f>
        <v>5264</v>
      </c>
      <c r="B3038" s="1" t="s">
        <v>7149</v>
      </c>
      <c r="C3038" t="s">
        <v>7150</v>
      </c>
      <c r="D3038">
        <v>87.4</v>
      </c>
      <c r="E3038">
        <v>89.1</v>
      </c>
      <c r="F3038">
        <v>100</v>
      </c>
      <c r="G3038">
        <v>99.6</v>
      </c>
      <c r="H3038">
        <v>136</v>
      </c>
      <c r="I3038">
        <v>139.69999999999999</v>
      </c>
      <c r="J3038">
        <v>100</v>
      </c>
      <c r="K3038">
        <v>100</v>
      </c>
      <c r="L3038" s="1" t="s">
        <v>7149</v>
      </c>
      <c r="M3038" t="s">
        <v>7151</v>
      </c>
      <c r="N3038">
        <v>8</v>
      </c>
    </row>
    <row r="3039" spans="1:14" x14ac:dyDescent="0.25">
      <c r="A3039" s="3" t="str">
        <f>HYPERLINK("http://www.ncbi.nlm.nih.gov/gene/55361","55361")</f>
        <v>55361</v>
      </c>
      <c r="B3039" s="1" t="s">
        <v>7152</v>
      </c>
      <c r="C3039" t="s">
        <v>7153</v>
      </c>
      <c r="D3039">
        <v>111</v>
      </c>
      <c r="E3039">
        <v>106.9</v>
      </c>
      <c r="F3039">
        <v>91.9</v>
      </c>
      <c r="G3039">
        <v>86.4</v>
      </c>
      <c r="H3039">
        <v>120.6</v>
      </c>
      <c r="I3039">
        <v>122.6</v>
      </c>
      <c r="J3039">
        <v>100</v>
      </c>
      <c r="K3039">
        <v>100</v>
      </c>
      <c r="L3039" s="1" t="s">
        <v>7152</v>
      </c>
      <c r="M3039" t="s">
        <v>93</v>
      </c>
      <c r="N3039">
        <v>2</v>
      </c>
    </row>
    <row r="3040" spans="1:14" x14ac:dyDescent="0.25">
      <c r="A3040" s="3" t="str">
        <f>HYPERLINK("http://www.ncbi.nlm.nih.gov/gene/5297","5297")</f>
        <v>5297</v>
      </c>
      <c r="B3040" s="1" t="s">
        <v>7154</v>
      </c>
      <c r="C3040" t="s">
        <v>7155</v>
      </c>
      <c r="D3040">
        <v>104</v>
      </c>
      <c r="E3040">
        <v>108.1</v>
      </c>
      <c r="F3040">
        <v>92.6</v>
      </c>
      <c r="G3040">
        <v>88.8</v>
      </c>
      <c r="H3040">
        <v>132.5</v>
      </c>
      <c r="I3040">
        <v>136.4</v>
      </c>
      <c r="J3040">
        <v>99.9</v>
      </c>
      <c r="K3040">
        <v>99.9</v>
      </c>
      <c r="L3040" s="1" t="s">
        <v>7154</v>
      </c>
      <c r="M3040" t="s">
        <v>228</v>
      </c>
      <c r="N3040">
        <v>3</v>
      </c>
    </row>
    <row r="3041" spans="1:14" x14ac:dyDescent="0.25">
      <c r="A3041" s="3" t="str">
        <f>HYPERLINK("http://www.ncbi.nlm.nih.gov/gene/5298","5298")</f>
        <v>5298</v>
      </c>
      <c r="B3041" s="1" t="s">
        <v>7156</v>
      </c>
      <c r="C3041" t="s">
        <v>7157</v>
      </c>
      <c r="D3041">
        <v>128.5</v>
      </c>
      <c r="E3041">
        <v>117.2</v>
      </c>
      <c r="F3041">
        <v>100</v>
      </c>
      <c r="G3041">
        <v>99.5</v>
      </c>
      <c r="H3041">
        <v>148.80000000000001</v>
      </c>
      <c r="I3041">
        <v>154.9</v>
      </c>
      <c r="J3041">
        <v>100</v>
      </c>
      <c r="K3041">
        <v>100</v>
      </c>
      <c r="L3041" s="1" t="s">
        <v>7156</v>
      </c>
      <c r="M3041" t="s">
        <v>76</v>
      </c>
      <c r="N3041">
        <v>2</v>
      </c>
    </row>
    <row r="3042" spans="1:14" x14ac:dyDescent="0.25">
      <c r="A3042" s="3" t="str">
        <f>HYPERLINK("http://www.ncbi.nlm.nih.gov/gene/10464","10464")</f>
        <v>10464</v>
      </c>
      <c r="B3042" s="1" t="s">
        <v>7158</v>
      </c>
      <c r="C3042" t="s">
        <v>7159</v>
      </c>
      <c r="D3042">
        <v>79</v>
      </c>
      <c r="E3042">
        <v>82.1</v>
      </c>
      <c r="F3042">
        <v>99.5</v>
      </c>
      <c r="G3042">
        <v>96.2</v>
      </c>
      <c r="H3042">
        <v>105.8</v>
      </c>
      <c r="I3042">
        <v>108.7</v>
      </c>
      <c r="J3042">
        <v>100</v>
      </c>
      <c r="K3042">
        <v>100</v>
      </c>
      <c r="L3042" s="1" t="s">
        <v>7158</v>
      </c>
      <c r="M3042" t="s">
        <v>763</v>
      </c>
      <c r="N3042">
        <v>4</v>
      </c>
    </row>
    <row r="3043" spans="1:14" x14ac:dyDescent="0.25">
      <c r="A3043" s="3" t="str">
        <f>HYPERLINK("http://www.ncbi.nlm.nih.gov/gene/8301","8301")</f>
        <v>8301</v>
      </c>
      <c r="B3043" s="1" t="s">
        <v>7160</v>
      </c>
      <c r="C3043" t="s">
        <v>7161</v>
      </c>
      <c r="D3043">
        <v>114.3</v>
      </c>
      <c r="E3043">
        <v>117.1</v>
      </c>
      <c r="F3043">
        <v>99.5</v>
      </c>
      <c r="G3043">
        <v>96.2</v>
      </c>
      <c r="H3043">
        <v>117.4</v>
      </c>
      <c r="I3043">
        <v>120.6</v>
      </c>
      <c r="J3043">
        <v>100</v>
      </c>
      <c r="K3043">
        <v>100</v>
      </c>
      <c r="L3043" s="1" t="s">
        <v>7160</v>
      </c>
      <c r="M3043" t="s">
        <v>22</v>
      </c>
      <c r="N3043">
        <v>1</v>
      </c>
    </row>
    <row r="3044" spans="1:14" x14ac:dyDescent="0.25">
      <c r="A3044" s="3" t="str">
        <f>HYPERLINK("http://www.ncbi.nlm.nih.gov/gene/9780","9780")</f>
        <v>9780</v>
      </c>
      <c r="B3044" s="1" t="s">
        <v>7162</v>
      </c>
      <c r="C3044" t="s">
        <v>7163</v>
      </c>
      <c r="D3044">
        <v>129.9</v>
      </c>
      <c r="E3044">
        <v>131.80000000000001</v>
      </c>
      <c r="F3044">
        <v>99.9</v>
      </c>
      <c r="G3044">
        <v>98.8</v>
      </c>
      <c r="H3044">
        <v>139.80000000000001</v>
      </c>
      <c r="I3044">
        <v>143.80000000000001</v>
      </c>
      <c r="J3044">
        <v>100</v>
      </c>
      <c r="K3044">
        <v>100</v>
      </c>
      <c r="L3044" s="1" t="s">
        <v>7162</v>
      </c>
      <c r="M3044" t="s">
        <v>7164</v>
      </c>
      <c r="N3044">
        <v>3</v>
      </c>
    </row>
    <row r="3045" spans="1:14" x14ac:dyDescent="0.25">
      <c r="A3045" s="3" t="str">
        <f>HYPERLINK("http://www.ncbi.nlm.nih.gov/gene/63895","63895")</f>
        <v>63895</v>
      </c>
      <c r="B3045" s="1" t="s">
        <v>7165</v>
      </c>
      <c r="C3045" t="s">
        <v>7166</v>
      </c>
      <c r="D3045">
        <v>118.9</v>
      </c>
      <c r="E3045">
        <v>121.6</v>
      </c>
      <c r="F3045">
        <v>100</v>
      </c>
      <c r="G3045">
        <v>99.5</v>
      </c>
      <c r="H3045">
        <v>146.80000000000001</v>
      </c>
      <c r="I3045">
        <v>151.19999999999999</v>
      </c>
      <c r="J3045">
        <v>100</v>
      </c>
      <c r="K3045">
        <v>100</v>
      </c>
      <c r="L3045" s="1" t="s">
        <v>7165</v>
      </c>
      <c r="M3045" t="s">
        <v>7167</v>
      </c>
      <c r="N3045">
        <v>7</v>
      </c>
    </row>
    <row r="3046" spans="1:14" x14ac:dyDescent="0.25">
      <c r="A3046" s="3" t="str">
        <f>HYPERLINK("http://www.ncbi.nlm.nih.gov/gene/5277","5277")</f>
        <v>5277</v>
      </c>
      <c r="B3046" s="1" t="s">
        <v>7168</v>
      </c>
      <c r="C3046" t="s">
        <v>7169</v>
      </c>
      <c r="D3046">
        <v>90</v>
      </c>
      <c r="E3046">
        <v>85.7</v>
      </c>
      <c r="F3046">
        <v>93.8</v>
      </c>
      <c r="G3046">
        <v>86.7</v>
      </c>
      <c r="H3046">
        <v>128.5</v>
      </c>
      <c r="I3046">
        <v>132.69999999999999</v>
      </c>
      <c r="J3046">
        <v>100</v>
      </c>
      <c r="K3046">
        <v>100</v>
      </c>
      <c r="L3046" s="1" t="s">
        <v>7168</v>
      </c>
      <c r="M3046" t="s">
        <v>7170</v>
      </c>
      <c r="N3046">
        <v>8</v>
      </c>
    </row>
    <row r="3047" spans="1:14" x14ac:dyDescent="0.25">
      <c r="A3047" s="3" t="str">
        <f>HYPERLINK("http://www.ncbi.nlm.nih.gov/gene/9488","9488")</f>
        <v>9488</v>
      </c>
      <c r="B3047" s="1" t="s">
        <v>7171</v>
      </c>
      <c r="C3047" t="s">
        <v>7172</v>
      </c>
      <c r="D3047">
        <v>110</v>
      </c>
      <c r="E3047">
        <v>115</v>
      </c>
      <c r="F3047">
        <v>99.9</v>
      </c>
      <c r="G3047">
        <v>97.8</v>
      </c>
      <c r="H3047">
        <v>138.4</v>
      </c>
      <c r="I3047">
        <v>143.19999999999999</v>
      </c>
      <c r="J3047">
        <v>100</v>
      </c>
      <c r="K3047">
        <v>100</v>
      </c>
      <c r="L3047" s="1" t="s">
        <v>7171</v>
      </c>
      <c r="M3047" t="s">
        <v>38</v>
      </c>
      <c r="N3047">
        <v>4</v>
      </c>
    </row>
    <row r="3048" spans="1:14" x14ac:dyDescent="0.25">
      <c r="A3048" s="3" t="str">
        <f>HYPERLINK("http://www.ncbi.nlm.nih.gov/gene/5279","5279")</f>
        <v>5279</v>
      </c>
      <c r="B3048" s="1" t="s">
        <v>7173</v>
      </c>
      <c r="C3048" t="s">
        <v>7174</v>
      </c>
      <c r="D3048">
        <v>102.5</v>
      </c>
      <c r="E3048">
        <v>103.7</v>
      </c>
      <c r="F3048">
        <v>99.2</v>
      </c>
      <c r="G3048">
        <v>90.9</v>
      </c>
      <c r="H3048">
        <v>139.80000000000001</v>
      </c>
      <c r="I3048">
        <v>141</v>
      </c>
      <c r="J3048">
        <v>100</v>
      </c>
      <c r="K3048">
        <v>100</v>
      </c>
      <c r="L3048" s="1" t="s">
        <v>7173</v>
      </c>
      <c r="M3048" t="s">
        <v>38</v>
      </c>
      <c r="N3048">
        <v>4</v>
      </c>
    </row>
    <row r="3049" spans="1:14" x14ac:dyDescent="0.25">
      <c r="A3049" s="3" t="str">
        <f>HYPERLINK("http://www.ncbi.nlm.nih.gov/gene/54872","54872")</f>
        <v>54872</v>
      </c>
      <c r="B3049" s="1" t="s">
        <v>7175</v>
      </c>
      <c r="C3049" t="s">
        <v>7176</v>
      </c>
      <c r="D3049">
        <v>162.9</v>
      </c>
      <c r="E3049">
        <v>175.5</v>
      </c>
      <c r="F3049">
        <v>100</v>
      </c>
      <c r="G3049">
        <v>99.7</v>
      </c>
      <c r="H3049">
        <v>142.6</v>
      </c>
      <c r="I3049">
        <v>146.5</v>
      </c>
      <c r="J3049">
        <v>100</v>
      </c>
      <c r="K3049">
        <v>100</v>
      </c>
      <c r="L3049" s="1" t="s">
        <v>7175</v>
      </c>
      <c r="M3049" t="s">
        <v>228</v>
      </c>
      <c r="N3049">
        <v>3</v>
      </c>
    </row>
    <row r="3050" spans="1:14" x14ac:dyDescent="0.25">
      <c r="A3050" s="3" t="str">
        <f>HYPERLINK("http://www.ncbi.nlm.nih.gov/gene/5283","5283")</f>
        <v>5283</v>
      </c>
      <c r="B3050" s="1" t="s">
        <v>7177</v>
      </c>
      <c r="C3050" t="s">
        <v>7178</v>
      </c>
      <c r="D3050">
        <v>76.8</v>
      </c>
      <c r="E3050">
        <v>84</v>
      </c>
      <c r="F3050">
        <v>82.1</v>
      </c>
      <c r="G3050">
        <v>68.099999999999994</v>
      </c>
      <c r="H3050">
        <v>124.8</v>
      </c>
      <c r="I3050">
        <v>129.4</v>
      </c>
      <c r="J3050">
        <v>75.2</v>
      </c>
      <c r="K3050">
        <v>74.400000000000006</v>
      </c>
      <c r="L3050" s="1" t="s">
        <v>7177</v>
      </c>
      <c r="M3050" t="s">
        <v>228</v>
      </c>
      <c r="N3050">
        <v>3</v>
      </c>
    </row>
    <row r="3051" spans="1:14" x14ac:dyDescent="0.25">
      <c r="A3051" s="3" t="str">
        <f>HYPERLINK("http://www.ncbi.nlm.nih.gov/gene/10026","10026")</f>
        <v>10026</v>
      </c>
      <c r="B3051" s="1" t="s">
        <v>7179</v>
      </c>
      <c r="C3051" t="s">
        <v>7180</v>
      </c>
      <c r="D3051">
        <v>84.8</v>
      </c>
      <c r="E3051">
        <v>87.2</v>
      </c>
      <c r="F3051">
        <v>99.2</v>
      </c>
      <c r="G3051">
        <v>95.1</v>
      </c>
      <c r="H3051">
        <v>124.1</v>
      </c>
      <c r="I3051">
        <v>127.1</v>
      </c>
      <c r="J3051">
        <v>100</v>
      </c>
      <c r="K3051">
        <v>100</v>
      </c>
      <c r="L3051" s="1" t="s">
        <v>7179</v>
      </c>
      <c r="M3051" t="s">
        <v>228</v>
      </c>
      <c r="N3051">
        <v>3</v>
      </c>
    </row>
    <row r="3052" spans="1:14" x14ac:dyDescent="0.25">
      <c r="A3052" s="3" t="str">
        <f>HYPERLINK("http://www.ncbi.nlm.nih.gov/gene/9487","9487")</f>
        <v>9487</v>
      </c>
      <c r="B3052" s="1" t="s">
        <v>7181</v>
      </c>
      <c r="C3052" t="s">
        <v>7182</v>
      </c>
      <c r="D3052">
        <v>137</v>
      </c>
      <c r="E3052">
        <v>141.30000000000001</v>
      </c>
      <c r="F3052">
        <v>100</v>
      </c>
      <c r="G3052">
        <v>100</v>
      </c>
      <c r="H3052">
        <v>137.1</v>
      </c>
      <c r="I3052">
        <v>140.19999999999999</v>
      </c>
      <c r="J3052">
        <v>100</v>
      </c>
      <c r="K3052">
        <v>100</v>
      </c>
      <c r="L3052" s="1" t="s">
        <v>7181</v>
      </c>
      <c r="M3052" t="s">
        <v>38</v>
      </c>
      <c r="N3052">
        <v>4</v>
      </c>
    </row>
    <row r="3053" spans="1:14" x14ac:dyDescent="0.25">
      <c r="A3053" s="3" t="str">
        <f>HYPERLINK("http://www.ncbi.nlm.nih.gov/gene/93183","93183")</f>
        <v>93183</v>
      </c>
      <c r="B3053" s="1" t="s">
        <v>7183</v>
      </c>
      <c r="C3053" t="s">
        <v>7184</v>
      </c>
      <c r="D3053">
        <v>165.5</v>
      </c>
      <c r="E3053">
        <v>158.5</v>
      </c>
      <c r="F3053">
        <v>100</v>
      </c>
      <c r="G3053">
        <v>100</v>
      </c>
      <c r="H3053">
        <v>131.6</v>
      </c>
      <c r="I3053">
        <v>138.4</v>
      </c>
      <c r="J3053">
        <v>100</v>
      </c>
      <c r="K3053">
        <v>100</v>
      </c>
      <c r="L3053" s="1" t="s">
        <v>7183</v>
      </c>
      <c r="M3053" t="s">
        <v>116</v>
      </c>
      <c r="N3053">
        <v>3</v>
      </c>
    </row>
    <row r="3054" spans="1:14" x14ac:dyDescent="0.25">
      <c r="A3054" s="3" t="str">
        <f>HYPERLINK("http://www.ncbi.nlm.nih.gov/gene/23556","23556")</f>
        <v>23556</v>
      </c>
      <c r="B3054" s="1" t="s">
        <v>7185</v>
      </c>
      <c r="C3054" t="s">
        <v>7186</v>
      </c>
      <c r="D3054">
        <v>112.8</v>
      </c>
      <c r="E3054">
        <v>117.3</v>
      </c>
      <c r="F3054">
        <v>93.8</v>
      </c>
      <c r="G3054">
        <v>91.5</v>
      </c>
      <c r="H3054">
        <v>121.2</v>
      </c>
      <c r="I3054">
        <v>124</v>
      </c>
      <c r="J3054">
        <v>98.8</v>
      </c>
      <c r="K3054">
        <v>98.8</v>
      </c>
      <c r="L3054" s="1" t="s">
        <v>7185</v>
      </c>
      <c r="M3054" t="s">
        <v>7187</v>
      </c>
      <c r="N3054">
        <v>7</v>
      </c>
    </row>
    <row r="3055" spans="1:14" x14ac:dyDescent="0.25">
      <c r="A3055" s="3" t="str">
        <f>HYPERLINK("http://www.ncbi.nlm.nih.gov/gene/84720","84720")</f>
        <v>84720</v>
      </c>
      <c r="B3055" s="1" t="s">
        <v>7188</v>
      </c>
      <c r="C3055" t="s">
        <v>7189</v>
      </c>
      <c r="D3055">
        <v>147.9</v>
      </c>
      <c r="E3055">
        <v>156.30000000000001</v>
      </c>
      <c r="F3055">
        <v>100</v>
      </c>
      <c r="G3055">
        <v>99.9</v>
      </c>
      <c r="H3055">
        <v>148.19999999999999</v>
      </c>
      <c r="I3055">
        <v>150.9</v>
      </c>
      <c r="J3055">
        <v>100</v>
      </c>
      <c r="K3055">
        <v>100</v>
      </c>
      <c r="L3055" s="1" t="s">
        <v>7188</v>
      </c>
      <c r="M3055" t="s">
        <v>214</v>
      </c>
      <c r="N3055">
        <v>5</v>
      </c>
    </row>
    <row r="3056" spans="1:14" x14ac:dyDescent="0.25">
      <c r="A3056" s="3" t="str">
        <f>HYPERLINK("http://www.ncbi.nlm.nih.gov/gene/51227","51227")</f>
        <v>51227</v>
      </c>
      <c r="B3056" s="1" t="s">
        <v>7190</v>
      </c>
      <c r="C3056" t="s">
        <v>7191</v>
      </c>
      <c r="D3056">
        <v>95.1</v>
      </c>
      <c r="E3056">
        <v>96.9</v>
      </c>
      <c r="F3056">
        <v>95.8</v>
      </c>
      <c r="G3056">
        <v>87.3</v>
      </c>
      <c r="H3056">
        <v>122.5</v>
      </c>
      <c r="I3056">
        <v>125.7</v>
      </c>
      <c r="J3056">
        <v>100</v>
      </c>
      <c r="K3056">
        <v>100</v>
      </c>
      <c r="L3056" s="1" t="s">
        <v>7190</v>
      </c>
      <c r="M3056" t="s">
        <v>214</v>
      </c>
      <c r="N3056">
        <v>5</v>
      </c>
    </row>
    <row r="3057" spans="1:14" x14ac:dyDescent="0.25">
      <c r="A3057" s="3" t="str">
        <f>HYPERLINK("http://www.ncbi.nlm.nih.gov/gene/9091","9091")</f>
        <v>9091</v>
      </c>
      <c r="B3057" s="1" t="s">
        <v>7192</v>
      </c>
      <c r="C3057" t="s">
        <v>7193</v>
      </c>
      <c r="D3057">
        <v>141</v>
      </c>
      <c r="E3057">
        <v>132</v>
      </c>
      <c r="F3057">
        <v>92.8</v>
      </c>
      <c r="G3057">
        <v>90.8</v>
      </c>
      <c r="H3057">
        <v>152.1</v>
      </c>
      <c r="I3057">
        <v>156.30000000000001</v>
      </c>
      <c r="J3057">
        <v>100</v>
      </c>
      <c r="K3057">
        <v>100</v>
      </c>
      <c r="L3057" s="1" t="s">
        <v>7192</v>
      </c>
      <c r="M3057" t="s">
        <v>116</v>
      </c>
      <c r="N3057">
        <v>3</v>
      </c>
    </row>
    <row r="3058" spans="1:14" x14ac:dyDescent="0.25">
      <c r="A3058" s="3" t="str">
        <f>HYPERLINK("http://www.ncbi.nlm.nih.gov/gene/94005","94005")</f>
        <v>94005</v>
      </c>
      <c r="B3058" s="1" t="s">
        <v>7194</v>
      </c>
      <c r="C3058" t="s">
        <v>7195</v>
      </c>
      <c r="D3058">
        <v>99.1</v>
      </c>
      <c r="E3058">
        <v>102.2</v>
      </c>
      <c r="F3058">
        <v>100</v>
      </c>
      <c r="G3058">
        <v>100</v>
      </c>
      <c r="H3058">
        <v>138.80000000000001</v>
      </c>
      <c r="I3058">
        <v>142.80000000000001</v>
      </c>
      <c r="J3058">
        <v>100</v>
      </c>
      <c r="K3058">
        <v>100</v>
      </c>
      <c r="L3058" s="1" t="s">
        <v>7194</v>
      </c>
      <c r="M3058" t="s">
        <v>228</v>
      </c>
      <c r="N3058">
        <v>3</v>
      </c>
    </row>
    <row r="3059" spans="1:14" x14ac:dyDescent="0.25">
      <c r="A3059" s="3" t="str">
        <f>HYPERLINK("http://www.ncbi.nlm.nih.gov/gene/51604","51604")</f>
        <v>51604</v>
      </c>
      <c r="B3059" s="1" t="s">
        <v>7196</v>
      </c>
      <c r="C3059" t="s">
        <v>7197</v>
      </c>
      <c r="D3059">
        <v>168.5</v>
      </c>
      <c r="E3059">
        <v>174.8</v>
      </c>
      <c r="F3059">
        <v>98.1</v>
      </c>
      <c r="G3059">
        <v>98.1</v>
      </c>
      <c r="H3059">
        <v>148.9</v>
      </c>
      <c r="I3059">
        <v>153.69999999999999</v>
      </c>
      <c r="J3059">
        <v>100</v>
      </c>
      <c r="K3059">
        <v>100</v>
      </c>
      <c r="L3059" s="1" t="s">
        <v>7196</v>
      </c>
      <c r="M3059" t="s">
        <v>7198</v>
      </c>
      <c r="N3059">
        <v>5</v>
      </c>
    </row>
    <row r="3060" spans="1:14" x14ac:dyDescent="0.25">
      <c r="A3060" s="3" t="str">
        <f>HYPERLINK("http://www.ncbi.nlm.nih.gov/gene/128869","128869")</f>
        <v>128869</v>
      </c>
      <c r="B3060" s="1" t="s">
        <v>7199</v>
      </c>
      <c r="C3060" t="s">
        <v>7200</v>
      </c>
      <c r="D3060">
        <v>101.7</v>
      </c>
      <c r="E3060">
        <v>104.5</v>
      </c>
      <c r="F3060">
        <v>100</v>
      </c>
      <c r="G3060">
        <v>99.1</v>
      </c>
      <c r="H3060">
        <v>125.4</v>
      </c>
      <c r="I3060">
        <v>128.9</v>
      </c>
      <c r="J3060">
        <v>100</v>
      </c>
      <c r="K3060">
        <v>100</v>
      </c>
      <c r="L3060" s="1" t="s">
        <v>7199</v>
      </c>
      <c r="M3060" t="s">
        <v>228</v>
      </c>
      <c r="N3060">
        <v>3</v>
      </c>
    </row>
    <row r="3061" spans="1:14" x14ac:dyDescent="0.25">
      <c r="A3061" s="3" t="str">
        <f>HYPERLINK("http://www.ncbi.nlm.nih.gov/gene/55650","55650")</f>
        <v>55650</v>
      </c>
      <c r="B3061" s="1" t="s">
        <v>7201</v>
      </c>
      <c r="C3061" t="s">
        <v>7202</v>
      </c>
      <c r="D3061">
        <v>143.6</v>
      </c>
      <c r="E3061">
        <v>145.1</v>
      </c>
      <c r="F3061">
        <v>100</v>
      </c>
      <c r="G3061">
        <v>100</v>
      </c>
      <c r="H3061">
        <v>148.19999999999999</v>
      </c>
      <c r="I3061">
        <v>149.19999999999999</v>
      </c>
      <c r="J3061">
        <v>100</v>
      </c>
      <c r="K3061">
        <v>100</v>
      </c>
      <c r="L3061" s="1" t="s">
        <v>7201</v>
      </c>
      <c r="M3061" t="s">
        <v>1022</v>
      </c>
      <c r="N3061">
        <v>7</v>
      </c>
    </row>
    <row r="3062" spans="1:14" x14ac:dyDescent="0.25">
      <c r="A3062" s="3" t="str">
        <f>HYPERLINK("http://www.ncbi.nlm.nih.gov/gene/284098","284098")</f>
        <v>284098</v>
      </c>
      <c r="B3062" s="1" t="s">
        <v>7203</v>
      </c>
      <c r="C3062" t="s">
        <v>7204</v>
      </c>
      <c r="D3062">
        <v>192.9</v>
      </c>
      <c r="E3062">
        <v>177.8</v>
      </c>
      <c r="F3062">
        <v>100</v>
      </c>
      <c r="G3062">
        <v>99.8</v>
      </c>
      <c r="H3062">
        <v>206.3</v>
      </c>
      <c r="I3062">
        <v>209.3</v>
      </c>
      <c r="J3062">
        <v>100</v>
      </c>
      <c r="K3062">
        <v>100</v>
      </c>
      <c r="L3062" s="1" t="s">
        <v>7203</v>
      </c>
      <c r="M3062" t="s">
        <v>38</v>
      </c>
      <c r="N3062">
        <v>4</v>
      </c>
    </row>
    <row r="3063" spans="1:14" x14ac:dyDescent="0.25">
      <c r="A3063" s="3" t="str">
        <f>HYPERLINK("http://www.ncbi.nlm.nih.gov/gene/84992","84992")</f>
        <v>84992</v>
      </c>
      <c r="B3063" s="1" t="s">
        <v>7205</v>
      </c>
      <c r="C3063" t="s">
        <v>7206</v>
      </c>
      <c r="D3063">
        <v>103.4</v>
      </c>
      <c r="E3063">
        <v>95.5</v>
      </c>
      <c r="F3063">
        <v>100</v>
      </c>
      <c r="G3063">
        <v>99.9</v>
      </c>
      <c r="H3063">
        <v>143.30000000000001</v>
      </c>
      <c r="I3063">
        <v>149.80000000000001</v>
      </c>
      <c r="J3063">
        <v>100</v>
      </c>
      <c r="K3063">
        <v>100</v>
      </c>
      <c r="L3063" s="1" t="s">
        <v>7205</v>
      </c>
      <c r="M3063" t="s">
        <v>38</v>
      </c>
      <c r="N3063">
        <v>4</v>
      </c>
    </row>
    <row r="3064" spans="1:14" x14ac:dyDescent="0.25">
      <c r="A3064" s="3" t="str">
        <f>HYPERLINK("http://www.ncbi.nlm.nih.gov/gene/5286","5286")</f>
        <v>5286</v>
      </c>
      <c r="B3064" s="1" t="s">
        <v>7207</v>
      </c>
      <c r="C3064" t="s">
        <v>7208</v>
      </c>
      <c r="D3064">
        <v>151</v>
      </c>
      <c r="E3064">
        <v>154.69999999999999</v>
      </c>
      <c r="F3064">
        <v>99.2</v>
      </c>
      <c r="G3064">
        <v>96.9</v>
      </c>
      <c r="H3064">
        <v>134</v>
      </c>
      <c r="I3064">
        <v>137.1</v>
      </c>
      <c r="J3064">
        <v>100</v>
      </c>
      <c r="K3064">
        <v>100</v>
      </c>
      <c r="L3064" s="1" t="s">
        <v>7207</v>
      </c>
      <c r="M3064" t="s">
        <v>1483</v>
      </c>
      <c r="N3064">
        <v>3</v>
      </c>
    </row>
    <row r="3065" spans="1:14" x14ac:dyDescent="0.25">
      <c r="A3065" s="3" t="str">
        <f>HYPERLINK("http://www.ncbi.nlm.nih.gov/gene/5289","5289")</f>
        <v>5289</v>
      </c>
      <c r="B3065" s="1" t="s">
        <v>7209</v>
      </c>
      <c r="C3065" t="s">
        <v>7210</v>
      </c>
      <c r="D3065">
        <v>134.5</v>
      </c>
      <c r="E3065">
        <v>139.4</v>
      </c>
      <c r="F3065">
        <v>99.3</v>
      </c>
      <c r="G3065">
        <v>98.9</v>
      </c>
      <c r="H3065">
        <v>121.4</v>
      </c>
      <c r="I3065">
        <v>124.8</v>
      </c>
      <c r="J3065">
        <v>99.8</v>
      </c>
      <c r="K3065">
        <v>99.7</v>
      </c>
      <c r="L3065" s="1" t="s">
        <v>7209</v>
      </c>
      <c r="M3065" t="s">
        <v>661</v>
      </c>
      <c r="N3065">
        <v>2</v>
      </c>
    </row>
    <row r="3066" spans="1:14" x14ac:dyDescent="0.25">
      <c r="A3066" s="3" t="str">
        <f>HYPERLINK("http://www.ncbi.nlm.nih.gov/gene/5290","5290")</f>
        <v>5290</v>
      </c>
      <c r="B3066" s="1" t="s">
        <v>7211</v>
      </c>
      <c r="C3066" t="s">
        <v>7212</v>
      </c>
      <c r="D3066">
        <v>144.80000000000001</v>
      </c>
      <c r="E3066">
        <v>151.30000000000001</v>
      </c>
      <c r="F3066">
        <v>98</v>
      </c>
      <c r="G3066">
        <v>97.8</v>
      </c>
      <c r="H3066">
        <v>123.4</v>
      </c>
      <c r="I3066">
        <v>126.8</v>
      </c>
      <c r="J3066">
        <v>100</v>
      </c>
      <c r="K3066">
        <v>100</v>
      </c>
      <c r="L3066" s="1" t="s">
        <v>7211</v>
      </c>
      <c r="M3066" t="s">
        <v>7213</v>
      </c>
      <c r="N3066">
        <v>5</v>
      </c>
    </row>
    <row r="3067" spans="1:14" x14ac:dyDescent="0.25">
      <c r="A3067" s="3" t="str">
        <f>HYPERLINK("http://www.ncbi.nlm.nih.gov/gene/5293","5293")</f>
        <v>5293</v>
      </c>
      <c r="B3067" s="1" t="s">
        <v>7214</v>
      </c>
      <c r="C3067" t="s">
        <v>7215</v>
      </c>
      <c r="D3067">
        <v>156.30000000000001</v>
      </c>
      <c r="E3067">
        <v>160.80000000000001</v>
      </c>
      <c r="F3067">
        <v>98.8</v>
      </c>
      <c r="G3067">
        <v>96.9</v>
      </c>
      <c r="H3067">
        <v>144</v>
      </c>
      <c r="I3067">
        <v>148.6</v>
      </c>
      <c r="J3067">
        <v>100</v>
      </c>
      <c r="K3067">
        <v>100</v>
      </c>
      <c r="L3067" s="1" t="s">
        <v>7214</v>
      </c>
      <c r="M3067" t="s">
        <v>7216</v>
      </c>
      <c r="N3067">
        <v>2</v>
      </c>
    </row>
    <row r="3068" spans="1:14" x14ac:dyDescent="0.25">
      <c r="A3068" s="3" t="str">
        <f>HYPERLINK("http://www.ncbi.nlm.nih.gov/gene/5294","5294")</f>
        <v>5294</v>
      </c>
      <c r="B3068" s="1" t="s">
        <v>7217</v>
      </c>
      <c r="C3068" t="s">
        <v>7218</v>
      </c>
      <c r="D3068">
        <v>195.7</v>
      </c>
      <c r="E3068">
        <v>194.6</v>
      </c>
      <c r="F3068">
        <v>100</v>
      </c>
      <c r="G3068">
        <v>100</v>
      </c>
      <c r="H3068">
        <v>156.1</v>
      </c>
      <c r="I3068">
        <v>158.30000000000001</v>
      </c>
      <c r="J3068">
        <v>100</v>
      </c>
      <c r="K3068">
        <v>100</v>
      </c>
      <c r="L3068" s="1" t="s">
        <v>7217</v>
      </c>
      <c r="M3068" t="s">
        <v>502</v>
      </c>
      <c r="N3068">
        <v>2</v>
      </c>
    </row>
    <row r="3069" spans="1:14" x14ac:dyDescent="0.25">
      <c r="A3069" s="3" t="str">
        <f>HYPERLINK("http://www.ncbi.nlm.nih.gov/gene/5295","5295")</f>
        <v>5295</v>
      </c>
      <c r="B3069" s="1" t="s">
        <v>7219</v>
      </c>
      <c r="C3069" t="s">
        <v>7220</v>
      </c>
      <c r="D3069">
        <v>144.80000000000001</v>
      </c>
      <c r="E3069">
        <v>148.19999999999999</v>
      </c>
      <c r="F3069">
        <v>99.8</v>
      </c>
      <c r="G3069">
        <v>99</v>
      </c>
      <c r="H3069">
        <v>130.6</v>
      </c>
      <c r="I3069">
        <v>134.19999999999999</v>
      </c>
      <c r="J3069">
        <v>100</v>
      </c>
      <c r="K3069">
        <v>100</v>
      </c>
      <c r="L3069" s="1" t="s">
        <v>7219</v>
      </c>
      <c r="M3069" t="s">
        <v>7221</v>
      </c>
      <c r="N3069">
        <v>5</v>
      </c>
    </row>
    <row r="3070" spans="1:14" x14ac:dyDescent="0.25">
      <c r="A3070" s="3" t="str">
        <f>HYPERLINK("http://www.ncbi.nlm.nih.gov/gene/5296","5296")</f>
        <v>5296</v>
      </c>
      <c r="B3070" s="1" t="s">
        <v>7222</v>
      </c>
      <c r="C3070" t="s">
        <v>7223</v>
      </c>
      <c r="D3070">
        <v>101</v>
      </c>
      <c r="E3070">
        <v>105.2</v>
      </c>
      <c r="F3070">
        <v>90.7</v>
      </c>
      <c r="G3070">
        <v>89.6</v>
      </c>
      <c r="H3070">
        <v>120.4</v>
      </c>
      <c r="I3070">
        <v>123.8</v>
      </c>
      <c r="J3070">
        <v>99.3</v>
      </c>
      <c r="K3070">
        <v>96.1</v>
      </c>
      <c r="L3070" s="1" t="s">
        <v>7222</v>
      </c>
      <c r="M3070" t="s">
        <v>7224</v>
      </c>
      <c r="N3070">
        <v>3</v>
      </c>
    </row>
    <row r="3071" spans="1:14" x14ac:dyDescent="0.25">
      <c r="A3071" s="3" t="str">
        <f>HYPERLINK("http://www.ncbi.nlm.nih.gov/gene/23533","23533")</f>
        <v>23533</v>
      </c>
      <c r="B3071" s="1" t="s">
        <v>7225</v>
      </c>
      <c r="C3071" t="s">
        <v>7226</v>
      </c>
      <c r="D3071">
        <v>126.3</v>
      </c>
      <c r="E3071">
        <v>126.8</v>
      </c>
      <c r="F3071">
        <v>100</v>
      </c>
      <c r="G3071">
        <v>99.9</v>
      </c>
      <c r="H3071">
        <v>131.19999999999999</v>
      </c>
      <c r="I3071">
        <v>131.1</v>
      </c>
      <c r="J3071">
        <v>100</v>
      </c>
      <c r="K3071">
        <v>100</v>
      </c>
      <c r="L3071" s="1" t="s">
        <v>7225</v>
      </c>
      <c r="M3071" t="s">
        <v>3860</v>
      </c>
      <c r="N3071">
        <v>4</v>
      </c>
    </row>
    <row r="3072" spans="1:14" x14ac:dyDescent="0.25">
      <c r="A3072" s="3" t="str">
        <f>HYPERLINK("http://www.ncbi.nlm.nih.gov/gene/200576","200576")</f>
        <v>200576</v>
      </c>
      <c r="B3072" s="1" t="s">
        <v>7227</v>
      </c>
      <c r="C3072" t="s">
        <v>7228</v>
      </c>
      <c r="D3072">
        <v>163.4</v>
      </c>
      <c r="E3072">
        <v>164.2</v>
      </c>
      <c r="F3072">
        <v>99.9</v>
      </c>
      <c r="G3072">
        <v>99.4</v>
      </c>
      <c r="H3072">
        <v>136.80000000000001</v>
      </c>
      <c r="I3072">
        <v>139.5</v>
      </c>
      <c r="J3072">
        <v>100</v>
      </c>
      <c r="K3072">
        <v>100</v>
      </c>
      <c r="L3072" s="1" t="s">
        <v>7227</v>
      </c>
      <c r="M3072" t="s">
        <v>7229</v>
      </c>
      <c r="N3072">
        <v>3</v>
      </c>
    </row>
    <row r="3073" spans="1:14" x14ac:dyDescent="0.25">
      <c r="A3073" s="3" t="str">
        <f>HYPERLINK("http://www.ncbi.nlm.nih.gov/gene/65018","65018")</f>
        <v>65018</v>
      </c>
      <c r="B3073" s="1" t="s">
        <v>7230</v>
      </c>
      <c r="C3073" t="s">
        <v>7231</v>
      </c>
      <c r="D3073">
        <v>86.3</v>
      </c>
      <c r="E3073">
        <v>91.4</v>
      </c>
      <c r="F3073">
        <v>90.7</v>
      </c>
      <c r="G3073">
        <v>86.9</v>
      </c>
      <c r="H3073">
        <v>136.30000000000001</v>
      </c>
      <c r="I3073">
        <v>142.9</v>
      </c>
      <c r="J3073">
        <v>99.9</v>
      </c>
      <c r="K3073">
        <v>99.4</v>
      </c>
      <c r="L3073" s="1" t="s">
        <v>7230</v>
      </c>
      <c r="M3073" t="s">
        <v>2823</v>
      </c>
      <c r="N3073">
        <v>3</v>
      </c>
    </row>
    <row r="3074" spans="1:14" x14ac:dyDescent="0.25">
      <c r="A3074" s="3" t="str">
        <f>HYPERLINK("http://www.ncbi.nlm.nih.gov/gene/23396","23396")</f>
        <v>23396</v>
      </c>
      <c r="B3074" s="1" t="s">
        <v>7232</v>
      </c>
      <c r="C3074" t="s">
        <v>7233</v>
      </c>
      <c r="D3074">
        <v>132.5</v>
      </c>
      <c r="E3074">
        <v>138.1</v>
      </c>
      <c r="F3074">
        <v>98</v>
      </c>
      <c r="G3074">
        <v>95.8</v>
      </c>
      <c r="H3074">
        <v>146.1</v>
      </c>
      <c r="I3074">
        <v>150.80000000000001</v>
      </c>
      <c r="J3074">
        <v>99.9</v>
      </c>
      <c r="K3074">
        <v>99.8</v>
      </c>
      <c r="L3074" s="1" t="s">
        <v>7232</v>
      </c>
      <c r="M3074" t="s">
        <v>7234</v>
      </c>
      <c r="N3074">
        <v>5</v>
      </c>
    </row>
    <row r="3075" spans="1:14" x14ac:dyDescent="0.25">
      <c r="A3075" s="3" t="str">
        <f>HYPERLINK("http://www.ncbi.nlm.nih.gov/gene/23761","23761")</f>
        <v>23761</v>
      </c>
      <c r="B3075" s="1" t="s">
        <v>7235</v>
      </c>
      <c r="C3075" t="s">
        <v>7236</v>
      </c>
      <c r="D3075">
        <v>161.19999999999999</v>
      </c>
      <c r="E3075">
        <v>168.8</v>
      </c>
      <c r="F3075">
        <v>100</v>
      </c>
      <c r="G3075">
        <v>100</v>
      </c>
      <c r="H3075">
        <v>134</v>
      </c>
      <c r="I3075">
        <v>137.4</v>
      </c>
      <c r="J3075">
        <v>100</v>
      </c>
      <c r="K3075">
        <v>100</v>
      </c>
      <c r="L3075" s="1" t="s">
        <v>7235</v>
      </c>
      <c r="M3075" t="s">
        <v>7237</v>
      </c>
      <c r="N3075">
        <v>4</v>
      </c>
    </row>
    <row r="3076" spans="1:14" x14ac:dyDescent="0.25">
      <c r="A3076" s="3" t="str">
        <f>HYPERLINK("http://www.ncbi.nlm.nih.gov/gene/83394","83394")</f>
        <v>83394</v>
      </c>
      <c r="B3076" s="1" t="s">
        <v>7238</v>
      </c>
      <c r="C3076" t="s">
        <v>7239</v>
      </c>
      <c r="D3076">
        <v>122.9</v>
      </c>
      <c r="E3076">
        <v>128.4</v>
      </c>
      <c r="F3076">
        <v>99.5</v>
      </c>
      <c r="G3076">
        <v>98.7</v>
      </c>
      <c r="H3076">
        <v>155.5</v>
      </c>
      <c r="I3076">
        <v>160.1</v>
      </c>
      <c r="J3076">
        <v>100</v>
      </c>
      <c r="K3076">
        <v>100</v>
      </c>
      <c r="L3076" s="1" t="s">
        <v>7238</v>
      </c>
      <c r="M3076" t="s">
        <v>285</v>
      </c>
      <c r="N3076">
        <v>1</v>
      </c>
    </row>
    <row r="3077" spans="1:14" x14ac:dyDescent="0.25">
      <c r="A3077" s="3" t="str">
        <f>HYPERLINK("http://www.ncbi.nlm.nih.gov/gene/10531","10531")</f>
        <v>10531</v>
      </c>
      <c r="B3077" s="1" t="s">
        <v>7240</v>
      </c>
      <c r="C3077" t="s">
        <v>7241</v>
      </c>
      <c r="D3077">
        <v>119.6</v>
      </c>
      <c r="E3077">
        <v>122.8</v>
      </c>
      <c r="F3077">
        <v>98.4</v>
      </c>
      <c r="G3077">
        <v>96.1</v>
      </c>
      <c r="H3077">
        <v>134.80000000000001</v>
      </c>
      <c r="I3077">
        <v>138.6</v>
      </c>
      <c r="J3077">
        <v>100</v>
      </c>
      <c r="K3077">
        <v>100</v>
      </c>
      <c r="L3077" s="1" t="s">
        <v>7240</v>
      </c>
      <c r="M3077" t="s">
        <v>1742</v>
      </c>
      <c r="N3077">
        <v>3</v>
      </c>
    </row>
    <row r="3078" spans="1:14" x14ac:dyDescent="0.25">
      <c r="A3078" s="3" t="str">
        <f>HYPERLINK("http://www.ncbi.nlm.nih.gov/gene/5307","5307")</f>
        <v>5307</v>
      </c>
      <c r="B3078" s="1" t="s">
        <v>7242</v>
      </c>
      <c r="C3078" t="s">
        <v>7243</v>
      </c>
      <c r="D3078">
        <v>142.69999999999999</v>
      </c>
      <c r="E3078">
        <v>137.19999999999999</v>
      </c>
      <c r="F3078">
        <v>96.7</v>
      </c>
      <c r="G3078">
        <v>92</v>
      </c>
      <c r="H3078">
        <v>140.6</v>
      </c>
      <c r="I3078">
        <v>145.9</v>
      </c>
      <c r="J3078">
        <v>100</v>
      </c>
      <c r="K3078">
        <v>100</v>
      </c>
      <c r="L3078" s="1" t="s">
        <v>7242</v>
      </c>
      <c r="M3078" t="s">
        <v>1253</v>
      </c>
      <c r="N3078">
        <v>2</v>
      </c>
    </row>
    <row r="3079" spans="1:14" x14ac:dyDescent="0.25">
      <c r="A3079" s="3" t="str">
        <f>HYPERLINK("http://www.ncbi.nlm.nih.gov/gene/5308","5308")</f>
        <v>5308</v>
      </c>
      <c r="B3079" s="1" t="s">
        <v>7244</v>
      </c>
      <c r="C3079" t="s">
        <v>7245</v>
      </c>
      <c r="D3079">
        <v>167</v>
      </c>
      <c r="E3079">
        <v>158.5</v>
      </c>
      <c r="F3079">
        <v>99.9</v>
      </c>
      <c r="G3079">
        <v>97.7</v>
      </c>
      <c r="H3079">
        <v>130.19999999999999</v>
      </c>
      <c r="I3079">
        <v>132.69999999999999</v>
      </c>
      <c r="J3079">
        <v>100</v>
      </c>
      <c r="K3079">
        <v>100</v>
      </c>
      <c r="L3079" s="1" t="s">
        <v>7244</v>
      </c>
      <c r="M3079" t="s">
        <v>7246</v>
      </c>
      <c r="N3079">
        <v>6</v>
      </c>
    </row>
    <row r="3080" spans="1:14" x14ac:dyDescent="0.25">
      <c r="A3080" s="3" t="str">
        <f>HYPERLINK("http://www.ncbi.nlm.nih.gov/gene/5309","5309")</f>
        <v>5309</v>
      </c>
      <c r="B3080" s="1" t="s">
        <v>7247</v>
      </c>
      <c r="C3080" t="s">
        <v>7248</v>
      </c>
      <c r="D3080">
        <v>64.900000000000006</v>
      </c>
      <c r="E3080">
        <v>59</v>
      </c>
      <c r="F3080">
        <v>100</v>
      </c>
      <c r="G3080">
        <v>98.4</v>
      </c>
      <c r="H3080">
        <v>135.5</v>
      </c>
      <c r="I3080">
        <v>136.69999999999999</v>
      </c>
      <c r="J3080">
        <v>100</v>
      </c>
      <c r="K3080">
        <v>100</v>
      </c>
      <c r="L3080" s="1" t="s">
        <v>7247</v>
      </c>
      <c r="M3080" t="s">
        <v>7249</v>
      </c>
      <c r="N3080">
        <v>2</v>
      </c>
    </row>
    <row r="3081" spans="1:14" x14ac:dyDescent="0.25">
      <c r="A3081" s="3" t="str">
        <f>HYPERLINK("http://www.ncbi.nlm.nih.gov/gene/494513","494513")</f>
        <v>494513</v>
      </c>
      <c r="B3081" s="1" t="s">
        <v>7250</v>
      </c>
      <c r="C3081" t="s">
        <v>7251</v>
      </c>
      <c r="D3081">
        <v>134.69999999999999</v>
      </c>
      <c r="E3081">
        <v>142.30000000000001</v>
      </c>
      <c r="F3081">
        <v>100</v>
      </c>
      <c r="G3081">
        <v>99.7</v>
      </c>
      <c r="H3081">
        <v>104.3</v>
      </c>
      <c r="I3081">
        <v>107.8</v>
      </c>
      <c r="J3081">
        <v>100</v>
      </c>
      <c r="K3081">
        <v>100</v>
      </c>
      <c r="L3081" s="1" t="s">
        <v>7250</v>
      </c>
      <c r="M3081" t="s">
        <v>269</v>
      </c>
      <c r="N3081">
        <v>3</v>
      </c>
    </row>
    <row r="3082" spans="1:14" x14ac:dyDescent="0.25">
      <c r="A3082" s="3" t="str">
        <f>HYPERLINK("http://www.ncbi.nlm.nih.gov/gene/5310","5310")</f>
        <v>5310</v>
      </c>
      <c r="B3082" s="1" t="s">
        <v>7252</v>
      </c>
      <c r="C3082" t="s">
        <v>7253</v>
      </c>
      <c r="D3082">
        <v>29.4</v>
      </c>
      <c r="E3082">
        <v>27.3</v>
      </c>
      <c r="F3082">
        <v>39.200000000000003</v>
      </c>
      <c r="G3082">
        <v>30</v>
      </c>
      <c r="H3082">
        <v>155.69999999999999</v>
      </c>
      <c r="I3082">
        <v>157</v>
      </c>
      <c r="J3082">
        <v>99.2</v>
      </c>
      <c r="K3082">
        <v>98.9</v>
      </c>
      <c r="L3082" s="1" t="s">
        <v>7252</v>
      </c>
      <c r="M3082" t="s">
        <v>7254</v>
      </c>
      <c r="N3082">
        <v>5</v>
      </c>
    </row>
    <row r="3083" spans="1:14" x14ac:dyDescent="0.25">
      <c r="A3083" s="3" t="str">
        <f>HYPERLINK("http://www.ncbi.nlm.nih.gov/gene/168507","168507")</f>
        <v>168507</v>
      </c>
      <c r="B3083" s="1" t="s">
        <v>7255</v>
      </c>
      <c r="C3083" t="s">
        <v>7256</v>
      </c>
      <c r="D3083">
        <v>124.4</v>
      </c>
      <c r="E3083">
        <v>130.30000000000001</v>
      </c>
      <c r="F3083">
        <v>100</v>
      </c>
      <c r="G3083">
        <v>99.8</v>
      </c>
      <c r="H3083">
        <v>142.1</v>
      </c>
      <c r="I3083">
        <v>146.5</v>
      </c>
      <c r="J3083">
        <v>100</v>
      </c>
      <c r="K3083">
        <v>100</v>
      </c>
      <c r="L3083" s="1" t="s">
        <v>7255</v>
      </c>
      <c r="M3083" t="s">
        <v>7257</v>
      </c>
      <c r="N3083">
        <v>4</v>
      </c>
    </row>
    <row r="3084" spans="1:14" x14ac:dyDescent="0.25">
      <c r="A3084" s="3" t="str">
        <f>HYPERLINK("http://www.ncbi.nlm.nih.gov/gene/5311","5311")</f>
        <v>5311</v>
      </c>
      <c r="B3084" s="1" t="s">
        <v>7258</v>
      </c>
      <c r="C3084" t="s">
        <v>7259</v>
      </c>
      <c r="D3084">
        <v>105.2</v>
      </c>
      <c r="E3084">
        <v>108.4</v>
      </c>
      <c r="F3084">
        <v>95.5</v>
      </c>
      <c r="G3084">
        <v>91.1</v>
      </c>
      <c r="H3084">
        <v>120.7</v>
      </c>
      <c r="I3084">
        <v>125</v>
      </c>
      <c r="J3084">
        <v>99.3</v>
      </c>
      <c r="K3084">
        <v>97.7</v>
      </c>
      <c r="L3084" s="1" t="s">
        <v>7258</v>
      </c>
      <c r="M3084" t="s">
        <v>7254</v>
      </c>
      <c r="N3084">
        <v>5</v>
      </c>
    </row>
    <row r="3085" spans="1:14" x14ac:dyDescent="0.25">
      <c r="A3085" s="3" t="str">
        <f>HYPERLINK("http://www.ncbi.nlm.nih.gov/gene/91461","91461")</f>
        <v>91461</v>
      </c>
      <c r="B3085" s="1" t="s">
        <v>7260</v>
      </c>
      <c r="C3085" t="s">
        <v>7261</v>
      </c>
      <c r="D3085">
        <v>86.4</v>
      </c>
      <c r="E3085">
        <v>87</v>
      </c>
      <c r="F3085">
        <v>90.6</v>
      </c>
      <c r="G3085">
        <v>81.5</v>
      </c>
      <c r="H3085">
        <v>124.6</v>
      </c>
      <c r="I3085">
        <v>122.6</v>
      </c>
      <c r="J3085">
        <v>97.8</v>
      </c>
      <c r="K3085">
        <v>94.7</v>
      </c>
      <c r="L3085" s="1" t="s">
        <v>7260</v>
      </c>
      <c r="M3085" t="s">
        <v>1487</v>
      </c>
      <c r="N3085">
        <v>2</v>
      </c>
    </row>
    <row r="3086" spans="1:14" x14ac:dyDescent="0.25">
      <c r="A3086" s="3" t="str">
        <f>HYPERLINK("http://www.ncbi.nlm.nih.gov/gene/5314","5314")</f>
        <v>5314</v>
      </c>
      <c r="B3086" s="1" t="s">
        <v>7262</v>
      </c>
      <c r="C3086" t="s">
        <v>7263</v>
      </c>
      <c r="D3086">
        <v>149.9</v>
      </c>
      <c r="E3086">
        <v>154.19999999999999</v>
      </c>
      <c r="F3086">
        <v>100</v>
      </c>
      <c r="G3086">
        <v>99.6</v>
      </c>
      <c r="H3086">
        <v>143.9</v>
      </c>
      <c r="I3086">
        <v>146.80000000000001</v>
      </c>
      <c r="J3086">
        <v>100</v>
      </c>
      <c r="K3086">
        <v>100</v>
      </c>
      <c r="L3086" s="1" t="s">
        <v>7262</v>
      </c>
      <c r="M3086" t="s">
        <v>591</v>
      </c>
      <c r="N3086">
        <v>5</v>
      </c>
    </row>
    <row r="3087" spans="1:14" x14ac:dyDescent="0.25">
      <c r="A3087" s="3" t="str">
        <f>HYPERLINK("http://www.ncbi.nlm.nih.gov/gene/5313","5313")</f>
        <v>5313</v>
      </c>
      <c r="B3087" s="1" t="s">
        <v>7264</v>
      </c>
      <c r="C3087" t="s">
        <v>7265</v>
      </c>
      <c r="D3087">
        <v>171.1</v>
      </c>
      <c r="E3087">
        <v>183.1</v>
      </c>
      <c r="F3087">
        <v>100</v>
      </c>
      <c r="G3087">
        <v>99.2</v>
      </c>
      <c r="H3087">
        <v>215.9</v>
      </c>
      <c r="I3087">
        <v>221.9</v>
      </c>
      <c r="J3087">
        <v>100</v>
      </c>
      <c r="K3087">
        <v>100</v>
      </c>
      <c r="L3087" s="1" t="s">
        <v>7264</v>
      </c>
      <c r="M3087" t="s">
        <v>4025</v>
      </c>
      <c r="N3087">
        <v>3</v>
      </c>
    </row>
    <row r="3088" spans="1:14" x14ac:dyDescent="0.25">
      <c r="A3088" s="3" t="str">
        <f>HYPERLINK("http://www.ncbi.nlm.nih.gov/gene/5317","5317")</f>
        <v>5317</v>
      </c>
      <c r="B3088" s="1" t="s">
        <v>7266</v>
      </c>
      <c r="C3088" t="s">
        <v>7267</v>
      </c>
      <c r="D3088">
        <v>131.6</v>
      </c>
      <c r="E3088">
        <v>130.6</v>
      </c>
      <c r="F3088">
        <v>100</v>
      </c>
      <c r="G3088">
        <v>99.1</v>
      </c>
      <c r="H3088">
        <v>138.5</v>
      </c>
      <c r="I3088">
        <v>142.1</v>
      </c>
      <c r="J3088">
        <v>100</v>
      </c>
      <c r="K3088">
        <v>100</v>
      </c>
      <c r="L3088" s="1" t="s">
        <v>7266</v>
      </c>
      <c r="M3088" t="s">
        <v>1901</v>
      </c>
      <c r="N3088">
        <v>3</v>
      </c>
    </row>
    <row r="3089" spans="1:14" x14ac:dyDescent="0.25">
      <c r="A3089" s="3" t="str">
        <f>HYPERLINK("http://www.ncbi.nlm.nih.gov/gene/5318","5318")</f>
        <v>5318</v>
      </c>
      <c r="B3089" s="1" t="s">
        <v>7268</v>
      </c>
      <c r="C3089" t="s">
        <v>7269</v>
      </c>
      <c r="D3089">
        <v>111.2</v>
      </c>
      <c r="E3089">
        <v>110.1</v>
      </c>
      <c r="F3089">
        <v>95.4</v>
      </c>
      <c r="G3089">
        <v>88.6</v>
      </c>
      <c r="H3089">
        <v>135.9</v>
      </c>
      <c r="I3089">
        <v>139.4</v>
      </c>
      <c r="J3089">
        <v>95</v>
      </c>
      <c r="K3089">
        <v>95</v>
      </c>
      <c r="L3089" s="1" t="s">
        <v>7268</v>
      </c>
      <c r="M3089" t="s">
        <v>197</v>
      </c>
      <c r="N3089">
        <v>2</v>
      </c>
    </row>
    <row r="3090" spans="1:14" x14ac:dyDescent="0.25">
      <c r="A3090" s="3" t="str">
        <f>HYPERLINK("http://www.ncbi.nlm.nih.gov/gene/8502","8502")</f>
        <v>8502</v>
      </c>
      <c r="B3090" s="1" t="s">
        <v>7270</v>
      </c>
      <c r="C3090" t="s">
        <v>7271</v>
      </c>
      <c r="D3090">
        <v>138.1</v>
      </c>
      <c r="E3090">
        <v>143</v>
      </c>
      <c r="F3090">
        <v>99.8</v>
      </c>
      <c r="G3090">
        <v>98.2</v>
      </c>
      <c r="H3090">
        <v>133.69999999999999</v>
      </c>
      <c r="I3090">
        <v>137.19999999999999</v>
      </c>
      <c r="J3090">
        <v>100</v>
      </c>
      <c r="K3090">
        <v>100</v>
      </c>
      <c r="L3090" s="1" t="s">
        <v>7270</v>
      </c>
      <c r="M3090" t="s">
        <v>197</v>
      </c>
      <c r="N3090">
        <v>2</v>
      </c>
    </row>
    <row r="3091" spans="1:14" x14ac:dyDescent="0.25">
      <c r="A3091" s="3" t="str">
        <f>HYPERLINK("http://www.ncbi.nlm.nih.gov/gene/5321","5321")</f>
        <v>5321</v>
      </c>
      <c r="B3091" s="1" t="s">
        <v>7272</v>
      </c>
      <c r="C3091" t="s">
        <v>7273</v>
      </c>
      <c r="D3091">
        <v>141</v>
      </c>
      <c r="E3091">
        <v>147.30000000000001</v>
      </c>
      <c r="F3091">
        <v>99.9</v>
      </c>
      <c r="G3091">
        <v>99.4</v>
      </c>
      <c r="H3091">
        <v>136.5</v>
      </c>
      <c r="I3091">
        <v>140.9</v>
      </c>
      <c r="J3091">
        <v>100</v>
      </c>
      <c r="K3091">
        <v>100</v>
      </c>
      <c r="L3091" s="1" t="s">
        <v>7272</v>
      </c>
      <c r="M3091" t="s">
        <v>1563</v>
      </c>
      <c r="N3091">
        <v>2</v>
      </c>
    </row>
    <row r="3092" spans="1:14" x14ac:dyDescent="0.25">
      <c r="A3092" s="3" t="str">
        <f>HYPERLINK("http://www.ncbi.nlm.nih.gov/gene/5322","5322")</f>
        <v>5322</v>
      </c>
      <c r="B3092" s="1" t="s">
        <v>7274</v>
      </c>
      <c r="C3092" t="s">
        <v>7275</v>
      </c>
      <c r="D3092">
        <v>137.5</v>
      </c>
      <c r="E3092">
        <v>144.80000000000001</v>
      </c>
      <c r="F3092">
        <v>100</v>
      </c>
      <c r="G3092">
        <v>100</v>
      </c>
      <c r="H3092">
        <v>126.8</v>
      </c>
      <c r="I3092">
        <v>129.6</v>
      </c>
      <c r="J3092">
        <v>100</v>
      </c>
      <c r="K3092">
        <v>100</v>
      </c>
      <c r="L3092" s="1" t="s">
        <v>7274</v>
      </c>
      <c r="M3092" t="s">
        <v>3796</v>
      </c>
      <c r="N3092">
        <v>3</v>
      </c>
    </row>
    <row r="3093" spans="1:14" x14ac:dyDescent="0.25">
      <c r="A3093" s="3" t="str">
        <f>HYPERLINK("http://www.ncbi.nlm.nih.gov/gene/8398","8398")</f>
        <v>8398</v>
      </c>
      <c r="B3093" s="1" t="s">
        <v>7276</v>
      </c>
      <c r="C3093" t="s">
        <v>7277</v>
      </c>
      <c r="D3093">
        <v>107.3</v>
      </c>
      <c r="E3093">
        <v>112.9</v>
      </c>
      <c r="F3093">
        <v>92.2</v>
      </c>
      <c r="G3093">
        <v>90.7</v>
      </c>
      <c r="H3093">
        <v>129.9</v>
      </c>
      <c r="I3093">
        <v>134.30000000000001</v>
      </c>
      <c r="J3093">
        <v>92.3</v>
      </c>
      <c r="K3093">
        <v>92.3</v>
      </c>
      <c r="L3093" s="1" t="s">
        <v>7276</v>
      </c>
      <c r="M3093" t="s">
        <v>7278</v>
      </c>
      <c r="N3093">
        <v>9</v>
      </c>
    </row>
    <row r="3094" spans="1:14" x14ac:dyDescent="0.25">
      <c r="A3094" s="3" t="str">
        <f>HYPERLINK("http://www.ncbi.nlm.nih.gov/gene/7941","7941")</f>
        <v>7941</v>
      </c>
      <c r="B3094" s="1" t="s">
        <v>7279</v>
      </c>
      <c r="C3094" t="s">
        <v>7280</v>
      </c>
      <c r="D3094">
        <v>146.6</v>
      </c>
      <c r="E3094">
        <v>151.30000000000001</v>
      </c>
      <c r="F3094">
        <v>99.9</v>
      </c>
      <c r="G3094">
        <v>99</v>
      </c>
      <c r="H3094">
        <v>128.19999999999999</v>
      </c>
      <c r="I3094">
        <v>132.30000000000001</v>
      </c>
      <c r="J3094">
        <v>100</v>
      </c>
      <c r="K3094">
        <v>100</v>
      </c>
      <c r="L3094" s="1" t="s">
        <v>7279</v>
      </c>
      <c r="M3094" t="s">
        <v>7281</v>
      </c>
      <c r="N3094">
        <v>5</v>
      </c>
    </row>
    <row r="3095" spans="1:14" x14ac:dyDescent="0.25">
      <c r="A3095" s="3" t="str">
        <f>HYPERLINK("http://www.ncbi.nlm.nih.gov/gene/9373","9373")</f>
        <v>9373</v>
      </c>
      <c r="B3095" s="1" t="s">
        <v>7282</v>
      </c>
      <c r="C3095" t="s">
        <v>7283</v>
      </c>
      <c r="D3095">
        <v>180.7</v>
      </c>
      <c r="E3095">
        <v>187.9</v>
      </c>
      <c r="F3095">
        <v>100</v>
      </c>
      <c r="G3095">
        <v>99.2</v>
      </c>
      <c r="H3095">
        <v>155</v>
      </c>
      <c r="I3095">
        <v>160.30000000000001</v>
      </c>
      <c r="J3095">
        <v>100</v>
      </c>
      <c r="K3095">
        <v>100</v>
      </c>
      <c r="L3095" s="1" t="s">
        <v>7282</v>
      </c>
      <c r="M3095" t="s">
        <v>228</v>
      </c>
      <c r="N3095">
        <v>3</v>
      </c>
    </row>
    <row r="3096" spans="1:14" x14ac:dyDescent="0.25">
      <c r="A3096" s="3" t="str">
        <f>HYPERLINK("http://www.ncbi.nlm.nih.gov/gene/5324","5324")</f>
        <v>5324</v>
      </c>
      <c r="B3096" s="1" t="s">
        <v>7284</v>
      </c>
      <c r="C3096" t="s">
        <v>7285</v>
      </c>
      <c r="D3096">
        <v>207.2</v>
      </c>
      <c r="E3096">
        <v>213.4</v>
      </c>
      <c r="F3096">
        <v>100</v>
      </c>
      <c r="G3096">
        <v>100</v>
      </c>
      <c r="H3096">
        <v>140.9</v>
      </c>
      <c r="I3096">
        <v>148.6</v>
      </c>
      <c r="J3096">
        <v>100</v>
      </c>
      <c r="K3096">
        <v>100</v>
      </c>
      <c r="L3096" s="1" t="s">
        <v>7284</v>
      </c>
      <c r="M3096" t="s">
        <v>7286</v>
      </c>
      <c r="N3096">
        <v>2</v>
      </c>
    </row>
    <row r="3097" spans="1:14" x14ac:dyDescent="0.25">
      <c r="A3097" s="3" t="str">
        <f>HYPERLINK("http://www.ncbi.nlm.nih.gov/gene/5327","5327")</f>
        <v>5327</v>
      </c>
      <c r="B3097" s="1" t="s">
        <v>7287</v>
      </c>
      <c r="C3097" t="s">
        <v>7288</v>
      </c>
      <c r="D3097">
        <v>95.4</v>
      </c>
      <c r="E3097">
        <v>98</v>
      </c>
      <c r="F3097">
        <v>100</v>
      </c>
      <c r="G3097">
        <v>99.1</v>
      </c>
      <c r="H3097">
        <v>137.80000000000001</v>
      </c>
      <c r="I3097">
        <v>141.69999999999999</v>
      </c>
      <c r="J3097">
        <v>100</v>
      </c>
      <c r="K3097">
        <v>100</v>
      </c>
      <c r="L3097" s="1" t="s">
        <v>7287</v>
      </c>
      <c r="M3097" t="s">
        <v>3596</v>
      </c>
      <c r="N3097">
        <v>2</v>
      </c>
    </row>
    <row r="3098" spans="1:14" x14ac:dyDescent="0.25">
      <c r="A3098" s="3" t="str">
        <f>HYPERLINK("http://www.ncbi.nlm.nih.gov/gene/5328","5328")</f>
        <v>5328</v>
      </c>
      <c r="B3098" s="1" t="s">
        <v>7289</v>
      </c>
      <c r="C3098" t="s">
        <v>7290</v>
      </c>
      <c r="D3098">
        <v>109.7</v>
      </c>
      <c r="E3098">
        <v>114.2</v>
      </c>
      <c r="F3098">
        <v>100</v>
      </c>
      <c r="G3098">
        <v>99.8</v>
      </c>
      <c r="H3098">
        <v>137.4</v>
      </c>
      <c r="I3098">
        <v>141.5</v>
      </c>
      <c r="J3098">
        <v>100</v>
      </c>
      <c r="K3098">
        <v>100</v>
      </c>
      <c r="L3098" s="1" t="s">
        <v>7289</v>
      </c>
      <c r="M3098" t="s">
        <v>7291</v>
      </c>
      <c r="N3098">
        <v>3</v>
      </c>
    </row>
    <row r="3099" spans="1:14" x14ac:dyDescent="0.25">
      <c r="A3099" s="3" t="str">
        <f>HYPERLINK("http://www.ncbi.nlm.nih.gov/gene/5329","5329")</f>
        <v>5329</v>
      </c>
      <c r="B3099" s="1" t="s">
        <v>7292</v>
      </c>
      <c r="C3099" t="s">
        <v>7293</v>
      </c>
      <c r="D3099">
        <v>116.7</v>
      </c>
      <c r="E3099">
        <v>121.6</v>
      </c>
      <c r="F3099">
        <v>100</v>
      </c>
      <c r="G3099">
        <v>99.8</v>
      </c>
      <c r="H3099">
        <v>140.19999999999999</v>
      </c>
      <c r="I3099">
        <v>144.5</v>
      </c>
      <c r="J3099">
        <v>100</v>
      </c>
      <c r="K3099">
        <v>100</v>
      </c>
      <c r="L3099" s="1" t="s">
        <v>7292</v>
      </c>
      <c r="M3099" t="s">
        <v>661</v>
      </c>
      <c r="N3099">
        <v>2</v>
      </c>
    </row>
    <row r="3100" spans="1:14" x14ac:dyDescent="0.25">
      <c r="A3100" s="3" t="str">
        <f>HYPERLINK("http://www.ncbi.nlm.nih.gov/gene/23236","23236")</f>
        <v>23236</v>
      </c>
      <c r="B3100" s="1" t="s">
        <v>7294</v>
      </c>
      <c r="C3100" t="s">
        <v>7295</v>
      </c>
      <c r="D3100">
        <v>154.69999999999999</v>
      </c>
      <c r="E3100">
        <v>160.9</v>
      </c>
      <c r="F3100">
        <v>100</v>
      </c>
      <c r="G3100">
        <v>99.8</v>
      </c>
      <c r="H3100">
        <v>135.80000000000001</v>
      </c>
      <c r="I3100">
        <v>139.69999999999999</v>
      </c>
      <c r="J3100">
        <v>100</v>
      </c>
      <c r="K3100">
        <v>100</v>
      </c>
      <c r="L3100" s="1" t="s">
        <v>7294</v>
      </c>
      <c r="M3100" t="s">
        <v>214</v>
      </c>
      <c r="N3100">
        <v>5</v>
      </c>
    </row>
    <row r="3101" spans="1:14" x14ac:dyDescent="0.25">
      <c r="A3101" s="3" t="str">
        <f>HYPERLINK("http://www.ncbi.nlm.nih.gov/gene/5331","5331")</f>
        <v>5331</v>
      </c>
      <c r="B3101" s="1" t="s">
        <v>7296</v>
      </c>
      <c r="C3101" t="s">
        <v>7297</v>
      </c>
      <c r="D3101">
        <v>145.30000000000001</v>
      </c>
      <c r="E3101">
        <v>150</v>
      </c>
      <c r="F3101">
        <v>100</v>
      </c>
      <c r="G3101">
        <v>99</v>
      </c>
      <c r="H3101">
        <v>145.6</v>
      </c>
      <c r="I3101">
        <v>149.19999999999999</v>
      </c>
      <c r="J3101">
        <v>100</v>
      </c>
      <c r="K3101">
        <v>100</v>
      </c>
      <c r="L3101" s="1" t="s">
        <v>7296</v>
      </c>
      <c r="M3101" t="s">
        <v>1487</v>
      </c>
      <c r="N3101">
        <v>2</v>
      </c>
    </row>
    <row r="3102" spans="1:14" x14ac:dyDescent="0.25">
      <c r="A3102" s="3" t="str">
        <f>HYPERLINK("http://www.ncbi.nlm.nih.gov/gene/5332","5332")</f>
        <v>5332</v>
      </c>
      <c r="B3102" s="1" t="s">
        <v>7298</v>
      </c>
      <c r="C3102" t="s">
        <v>7299</v>
      </c>
      <c r="D3102">
        <v>115.7</v>
      </c>
      <c r="E3102">
        <v>117.7</v>
      </c>
      <c r="F3102">
        <v>99.9</v>
      </c>
      <c r="G3102">
        <v>98.8</v>
      </c>
      <c r="H3102">
        <v>127.5</v>
      </c>
      <c r="I3102">
        <v>130.6</v>
      </c>
      <c r="J3102">
        <v>100</v>
      </c>
      <c r="K3102">
        <v>100</v>
      </c>
      <c r="L3102" s="1" t="s">
        <v>7298</v>
      </c>
      <c r="M3102" t="s">
        <v>7300</v>
      </c>
      <c r="N3102">
        <v>5</v>
      </c>
    </row>
    <row r="3103" spans="1:14" x14ac:dyDescent="0.25">
      <c r="A3103" s="3" t="str">
        <f>HYPERLINK("http://www.ncbi.nlm.nih.gov/gene/5333","5333")</f>
        <v>5333</v>
      </c>
      <c r="B3103" s="1" t="s">
        <v>7301</v>
      </c>
      <c r="C3103" t="s">
        <v>7302</v>
      </c>
      <c r="D3103">
        <v>121.3</v>
      </c>
      <c r="E3103">
        <v>124.5</v>
      </c>
      <c r="F3103">
        <v>99.9</v>
      </c>
      <c r="G3103">
        <v>97.8</v>
      </c>
      <c r="H3103">
        <v>147</v>
      </c>
      <c r="I3103">
        <v>150.69999999999999</v>
      </c>
      <c r="J3103">
        <v>100</v>
      </c>
      <c r="K3103">
        <v>100</v>
      </c>
      <c r="L3103" s="1" t="s">
        <v>7301</v>
      </c>
      <c r="M3103" t="s">
        <v>7303</v>
      </c>
      <c r="N3103">
        <v>4</v>
      </c>
    </row>
    <row r="3104" spans="1:14" x14ac:dyDescent="0.25">
      <c r="A3104" s="3" t="str">
        <f>HYPERLINK("http://www.ncbi.nlm.nih.gov/gene/51196","51196")</f>
        <v>51196</v>
      </c>
      <c r="B3104" s="1" t="s">
        <v>7304</v>
      </c>
      <c r="C3104" t="s">
        <v>7305</v>
      </c>
      <c r="D3104">
        <v>147.30000000000001</v>
      </c>
      <c r="E3104">
        <v>149.9</v>
      </c>
      <c r="F3104">
        <v>99.9</v>
      </c>
      <c r="G3104">
        <v>99.3</v>
      </c>
      <c r="H3104">
        <v>144.80000000000001</v>
      </c>
      <c r="I3104">
        <v>147.9</v>
      </c>
      <c r="J3104">
        <v>100</v>
      </c>
      <c r="K3104">
        <v>100</v>
      </c>
      <c r="L3104" s="1" t="s">
        <v>7304</v>
      </c>
      <c r="M3104" t="s">
        <v>365</v>
      </c>
      <c r="N3104">
        <v>4</v>
      </c>
    </row>
    <row r="3105" spans="1:14" x14ac:dyDescent="0.25">
      <c r="A3105" s="3" t="str">
        <f>HYPERLINK("http://www.ncbi.nlm.nih.gov/gene/5336","5336")</f>
        <v>5336</v>
      </c>
      <c r="B3105" s="1" t="s">
        <v>7306</v>
      </c>
      <c r="C3105" t="s">
        <v>7307</v>
      </c>
      <c r="D3105">
        <v>119.5</v>
      </c>
      <c r="E3105">
        <v>125.6</v>
      </c>
      <c r="F3105">
        <v>100</v>
      </c>
      <c r="G3105">
        <v>99.8</v>
      </c>
      <c r="H3105">
        <v>132.80000000000001</v>
      </c>
      <c r="I3105">
        <v>136.4</v>
      </c>
      <c r="J3105">
        <v>100</v>
      </c>
      <c r="K3105">
        <v>100</v>
      </c>
      <c r="L3105" s="1" t="s">
        <v>7306</v>
      </c>
      <c r="M3105" t="s">
        <v>7308</v>
      </c>
      <c r="N3105">
        <v>4</v>
      </c>
    </row>
    <row r="3106" spans="1:14" x14ac:dyDescent="0.25">
      <c r="A3106" s="3" t="str">
        <f>HYPERLINK("http://www.ncbi.nlm.nih.gov/gene/89869","89869")</f>
        <v>89869</v>
      </c>
      <c r="B3106" s="1" t="s">
        <v>7309</v>
      </c>
      <c r="C3106" t="s">
        <v>7310</v>
      </c>
      <c r="D3106">
        <v>83.2</v>
      </c>
      <c r="E3106">
        <v>83.4</v>
      </c>
      <c r="F3106">
        <v>99.9</v>
      </c>
      <c r="G3106">
        <v>96.9</v>
      </c>
      <c r="H3106">
        <v>127.9</v>
      </c>
      <c r="I3106">
        <v>131.30000000000001</v>
      </c>
      <c r="J3106">
        <v>100</v>
      </c>
      <c r="K3106">
        <v>100</v>
      </c>
      <c r="L3106" s="1" t="s">
        <v>7309</v>
      </c>
      <c r="M3106" t="s">
        <v>59</v>
      </c>
      <c r="N3106">
        <v>1</v>
      </c>
    </row>
    <row r="3107" spans="1:14" x14ac:dyDescent="0.25">
      <c r="A3107" s="3" t="str">
        <f>HYPERLINK("http://www.ncbi.nlm.nih.gov/gene/5337","5337")</f>
        <v>5337</v>
      </c>
      <c r="B3107" s="1" t="s">
        <v>7311</v>
      </c>
      <c r="C3107" t="s">
        <v>7312</v>
      </c>
      <c r="D3107">
        <v>138.19999999999999</v>
      </c>
      <c r="E3107">
        <v>142.69999999999999</v>
      </c>
      <c r="F3107">
        <v>100</v>
      </c>
      <c r="G3107">
        <v>99.6</v>
      </c>
      <c r="H3107">
        <v>141.19999999999999</v>
      </c>
      <c r="I3107">
        <v>145</v>
      </c>
      <c r="J3107">
        <v>100</v>
      </c>
      <c r="K3107">
        <v>100</v>
      </c>
      <c r="L3107" s="1" t="s">
        <v>7311</v>
      </c>
      <c r="M3107" t="s">
        <v>7257</v>
      </c>
      <c r="N3107">
        <v>4</v>
      </c>
    </row>
    <row r="3108" spans="1:14" x14ac:dyDescent="0.25">
      <c r="A3108" s="3" t="str">
        <f>HYPERLINK("http://www.ncbi.nlm.nih.gov/gene/23646","23646")</f>
        <v>23646</v>
      </c>
      <c r="B3108" s="1" t="s">
        <v>7313</v>
      </c>
      <c r="C3108" t="s">
        <v>7314</v>
      </c>
      <c r="D3108">
        <v>185.1</v>
      </c>
      <c r="E3108">
        <v>189.9</v>
      </c>
      <c r="F3108">
        <v>99.9</v>
      </c>
      <c r="G3108">
        <v>99.1</v>
      </c>
      <c r="H3108">
        <v>132</v>
      </c>
      <c r="I3108">
        <v>135.4</v>
      </c>
      <c r="J3108">
        <v>100</v>
      </c>
      <c r="K3108">
        <v>100</v>
      </c>
      <c r="L3108" s="1" t="s">
        <v>7313</v>
      </c>
      <c r="M3108" t="s">
        <v>718</v>
      </c>
      <c r="N3108">
        <v>2</v>
      </c>
    </row>
    <row r="3109" spans="1:14" x14ac:dyDescent="0.25">
      <c r="A3109" s="3" t="str">
        <f>HYPERLINK("http://www.ncbi.nlm.nih.gov/gene/5339","5339")</f>
        <v>5339</v>
      </c>
      <c r="B3109" s="1" t="s">
        <v>7315</v>
      </c>
      <c r="C3109" t="s">
        <v>7316</v>
      </c>
      <c r="D3109">
        <v>123.8</v>
      </c>
      <c r="E3109">
        <v>115.2</v>
      </c>
      <c r="F3109">
        <v>100</v>
      </c>
      <c r="G3109">
        <v>99.8</v>
      </c>
      <c r="H3109">
        <v>159.19999999999999</v>
      </c>
      <c r="I3109">
        <v>155.5</v>
      </c>
      <c r="J3109">
        <v>100</v>
      </c>
      <c r="K3109">
        <v>100</v>
      </c>
      <c r="L3109" s="1" t="s">
        <v>7315</v>
      </c>
      <c r="M3109" t="s">
        <v>7317</v>
      </c>
      <c r="N3109">
        <v>4</v>
      </c>
    </row>
    <row r="3110" spans="1:14" x14ac:dyDescent="0.25">
      <c r="A3110" s="3" t="str">
        <f>HYPERLINK("http://www.ncbi.nlm.nih.gov/gene/64857","64857")</f>
        <v>64857</v>
      </c>
      <c r="B3110" s="1" t="s">
        <v>7318</v>
      </c>
      <c r="C3110" t="s">
        <v>7319</v>
      </c>
      <c r="D3110">
        <v>169.6</v>
      </c>
      <c r="E3110">
        <v>163.80000000000001</v>
      </c>
      <c r="F3110">
        <v>100</v>
      </c>
      <c r="G3110">
        <v>99.3</v>
      </c>
      <c r="H3110">
        <v>156.1</v>
      </c>
      <c r="I3110">
        <v>158.69999999999999</v>
      </c>
      <c r="J3110">
        <v>100</v>
      </c>
      <c r="K3110">
        <v>100</v>
      </c>
      <c r="L3110" s="1" t="s">
        <v>7318</v>
      </c>
      <c r="M3110" t="s">
        <v>53</v>
      </c>
      <c r="N3110">
        <v>2</v>
      </c>
    </row>
    <row r="3111" spans="1:14" x14ac:dyDescent="0.25">
      <c r="A3111" s="3" t="str">
        <f>HYPERLINK("http://www.ncbi.nlm.nih.gov/gene/57449","57449")</f>
        <v>57449</v>
      </c>
      <c r="B3111" s="1" t="s">
        <v>7320</v>
      </c>
      <c r="C3111" t="s">
        <v>7321</v>
      </c>
      <c r="D3111">
        <v>98.2</v>
      </c>
      <c r="E3111">
        <v>97.3</v>
      </c>
      <c r="F3111">
        <v>95.3</v>
      </c>
      <c r="G3111">
        <v>91.1</v>
      </c>
      <c r="H3111">
        <v>132.69999999999999</v>
      </c>
      <c r="I3111">
        <v>135.4</v>
      </c>
      <c r="J3111">
        <v>96.3</v>
      </c>
      <c r="K3111">
        <v>96.2</v>
      </c>
      <c r="L3111" s="1" t="s">
        <v>7320</v>
      </c>
      <c r="M3111" t="s">
        <v>44</v>
      </c>
      <c r="N3111">
        <v>3</v>
      </c>
    </row>
    <row r="3112" spans="1:14" x14ac:dyDescent="0.25">
      <c r="A3112" s="3" t="str">
        <f>HYPERLINK("http://www.ncbi.nlm.nih.gov/gene/9842","9842")</f>
        <v>9842</v>
      </c>
      <c r="B3112" s="1" t="s">
        <v>7322</v>
      </c>
      <c r="C3112" t="s">
        <v>7323</v>
      </c>
      <c r="D3112">
        <v>126.9</v>
      </c>
      <c r="E3112">
        <v>129.9</v>
      </c>
      <c r="F3112">
        <v>100</v>
      </c>
      <c r="G3112">
        <v>99.8</v>
      </c>
      <c r="H3112">
        <v>224.5</v>
      </c>
      <c r="I3112">
        <v>228.4</v>
      </c>
      <c r="J3112">
        <v>100</v>
      </c>
      <c r="K3112">
        <v>100</v>
      </c>
      <c r="L3112" s="1" t="s">
        <v>7322</v>
      </c>
      <c r="M3112" t="s">
        <v>7324</v>
      </c>
      <c r="N3112">
        <v>4</v>
      </c>
    </row>
    <row r="3113" spans="1:14" x14ac:dyDescent="0.25">
      <c r="A3113" s="3" t="str">
        <f>HYPERLINK("http://www.ncbi.nlm.nih.gov/gene/23207","23207")</f>
        <v>23207</v>
      </c>
      <c r="B3113" s="1" t="s">
        <v>7325</v>
      </c>
      <c r="C3113" t="s">
        <v>7326</v>
      </c>
      <c r="D3113">
        <v>131.30000000000001</v>
      </c>
      <c r="E3113">
        <v>136.80000000000001</v>
      </c>
      <c r="F3113">
        <v>100</v>
      </c>
      <c r="G3113">
        <v>100</v>
      </c>
      <c r="H3113">
        <v>130.9</v>
      </c>
      <c r="I3113">
        <v>133.4</v>
      </c>
      <c r="J3113">
        <v>100</v>
      </c>
      <c r="K3113">
        <v>100</v>
      </c>
      <c r="L3113" s="1" t="s">
        <v>7325</v>
      </c>
      <c r="M3113" t="s">
        <v>243</v>
      </c>
      <c r="N3113">
        <v>2</v>
      </c>
    </row>
    <row r="3114" spans="1:14" x14ac:dyDescent="0.25">
      <c r="A3114" s="3" t="str">
        <f>HYPERLINK("http://www.ncbi.nlm.nih.gov/gene/5340","5340")</f>
        <v>5340</v>
      </c>
      <c r="B3114" s="1" t="s">
        <v>7327</v>
      </c>
      <c r="D3114">
        <v>113.8</v>
      </c>
      <c r="E3114">
        <v>117.3</v>
      </c>
      <c r="F3114">
        <v>87.8</v>
      </c>
      <c r="G3114">
        <v>87.5</v>
      </c>
      <c r="H3114">
        <v>144.1</v>
      </c>
      <c r="I3114">
        <v>148.30000000000001</v>
      </c>
      <c r="J3114">
        <v>100</v>
      </c>
      <c r="K3114">
        <v>100</v>
      </c>
      <c r="L3114" s="1" t="s">
        <v>7327</v>
      </c>
      <c r="M3114" t="s">
        <v>7328</v>
      </c>
      <c r="N3114">
        <v>6</v>
      </c>
    </row>
    <row r="3115" spans="1:14" x14ac:dyDescent="0.25">
      <c r="A3115" s="3" t="str">
        <f>HYPERLINK("http://www.ncbi.nlm.nih.gov/gene/5346","5346")</f>
        <v>5346</v>
      </c>
      <c r="B3115" s="1" t="s">
        <v>7329</v>
      </c>
      <c r="C3115" t="s">
        <v>7330</v>
      </c>
      <c r="D3115">
        <v>84.7</v>
      </c>
      <c r="E3115">
        <v>85</v>
      </c>
      <c r="F3115">
        <v>99.6</v>
      </c>
      <c r="G3115">
        <v>94.9</v>
      </c>
      <c r="H3115">
        <v>132.19999999999999</v>
      </c>
      <c r="I3115">
        <v>136.1</v>
      </c>
      <c r="J3115">
        <v>100</v>
      </c>
      <c r="K3115">
        <v>99.5</v>
      </c>
      <c r="L3115" s="1" t="s">
        <v>7329</v>
      </c>
      <c r="M3115" t="s">
        <v>7331</v>
      </c>
      <c r="N3115">
        <v>3</v>
      </c>
    </row>
    <row r="3116" spans="1:14" x14ac:dyDescent="0.25">
      <c r="A3116" s="3" t="str">
        <f>HYPERLINK("http://www.ncbi.nlm.nih.gov/gene/10733","10733")</f>
        <v>10733</v>
      </c>
      <c r="B3116" s="1" t="s">
        <v>7332</v>
      </c>
      <c r="C3116" t="s">
        <v>7333</v>
      </c>
      <c r="D3116">
        <v>185.1</v>
      </c>
      <c r="E3116">
        <v>178.1</v>
      </c>
      <c r="F3116">
        <v>99.9</v>
      </c>
      <c r="G3116">
        <v>98.2</v>
      </c>
      <c r="H3116">
        <v>136.6</v>
      </c>
      <c r="I3116">
        <v>134.9</v>
      </c>
      <c r="J3116">
        <v>100</v>
      </c>
      <c r="K3116">
        <v>100</v>
      </c>
      <c r="L3116" s="1" t="s">
        <v>7332</v>
      </c>
      <c r="M3116" t="s">
        <v>7334</v>
      </c>
      <c r="N3116">
        <v>5</v>
      </c>
    </row>
    <row r="3117" spans="1:14" x14ac:dyDescent="0.25">
      <c r="A3117" s="3" t="str">
        <f>HYPERLINK("http://www.ncbi.nlm.nih.gov/gene/5350","5350")</f>
        <v>5350</v>
      </c>
      <c r="B3117" s="1" t="s">
        <v>7335</v>
      </c>
      <c r="C3117" t="s">
        <v>7336</v>
      </c>
      <c r="D3117">
        <v>206.4</v>
      </c>
      <c r="E3117">
        <v>214</v>
      </c>
      <c r="F3117">
        <v>100</v>
      </c>
      <c r="G3117">
        <v>100</v>
      </c>
      <c r="H3117">
        <v>135.19999999999999</v>
      </c>
      <c r="I3117">
        <v>138.9</v>
      </c>
      <c r="J3117">
        <v>100</v>
      </c>
      <c r="K3117">
        <v>100</v>
      </c>
      <c r="L3117" s="1" t="s">
        <v>7335</v>
      </c>
      <c r="M3117" t="s">
        <v>2375</v>
      </c>
      <c r="N3117">
        <v>2</v>
      </c>
    </row>
    <row r="3118" spans="1:14" x14ac:dyDescent="0.25">
      <c r="A3118" s="3" t="str">
        <f>HYPERLINK("http://www.ncbi.nlm.nih.gov/gene/5351","5351")</f>
        <v>5351</v>
      </c>
      <c r="B3118" s="1" t="s">
        <v>7337</v>
      </c>
      <c r="C3118" t="s">
        <v>7338</v>
      </c>
      <c r="D3118">
        <v>142</v>
      </c>
      <c r="E3118">
        <v>147.6</v>
      </c>
      <c r="F3118">
        <v>100</v>
      </c>
      <c r="G3118">
        <v>98.4</v>
      </c>
      <c r="H3118">
        <v>131.5</v>
      </c>
      <c r="I3118">
        <v>135.69999999999999</v>
      </c>
      <c r="J3118">
        <v>100</v>
      </c>
      <c r="K3118">
        <v>100</v>
      </c>
      <c r="L3118" s="1" t="s">
        <v>7337</v>
      </c>
      <c r="M3118" t="s">
        <v>7339</v>
      </c>
      <c r="N3118">
        <v>8</v>
      </c>
    </row>
    <row r="3119" spans="1:14" x14ac:dyDescent="0.25">
      <c r="A3119" s="3" t="str">
        <f>HYPERLINK("http://www.ncbi.nlm.nih.gov/gene/5352","5352")</f>
        <v>5352</v>
      </c>
      <c r="B3119" s="1" t="s">
        <v>7340</v>
      </c>
      <c r="C3119" t="s">
        <v>7341</v>
      </c>
      <c r="D3119">
        <v>144.30000000000001</v>
      </c>
      <c r="E3119">
        <v>148.19999999999999</v>
      </c>
      <c r="F3119">
        <v>99.3</v>
      </c>
      <c r="G3119">
        <v>97.3</v>
      </c>
      <c r="H3119">
        <v>130.9</v>
      </c>
      <c r="I3119">
        <v>134.6</v>
      </c>
      <c r="J3119">
        <v>100</v>
      </c>
      <c r="K3119">
        <v>100</v>
      </c>
      <c r="L3119" s="1" t="s">
        <v>7340</v>
      </c>
      <c r="M3119" t="s">
        <v>351</v>
      </c>
      <c r="N3119">
        <v>4</v>
      </c>
    </row>
    <row r="3120" spans="1:14" x14ac:dyDescent="0.25">
      <c r="A3120" s="3" t="str">
        <f>HYPERLINK("http://www.ncbi.nlm.nih.gov/gene/8985","8985")</f>
        <v>8985</v>
      </c>
      <c r="B3120" s="1" t="s">
        <v>7342</v>
      </c>
      <c r="C3120" t="s">
        <v>7343</v>
      </c>
      <c r="D3120">
        <v>109.6</v>
      </c>
      <c r="E3120">
        <v>113</v>
      </c>
      <c r="F3120">
        <v>99.8</v>
      </c>
      <c r="G3120">
        <v>98</v>
      </c>
      <c r="H3120">
        <v>136.9</v>
      </c>
      <c r="I3120">
        <v>140.1</v>
      </c>
      <c r="J3120">
        <v>100</v>
      </c>
      <c r="K3120">
        <v>100</v>
      </c>
      <c r="L3120" s="1" t="s">
        <v>7342</v>
      </c>
      <c r="M3120" t="s">
        <v>7344</v>
      </c>
      <c r="N3120">
        <v>5</v>
      </c>
    </row>
    <row r="3121" spans="1:14" x14ac:dyDescent="0.25">
      <c r="A3121" s="3" t="str">
        <f>HYPERLINK("http://www.ncbi.nlm.nih.gov/gene/5354","5354")</f>
        <v>5354</v>
      </c>
      <c r="B3121" s="1" t="s">
        <v>7345</v>
      </c>
      <c r="C3121" t="s">
        <v>7346</v>
      </c>
      <c r="D3121">
        <v>137.19999999999999</v>
      </c>
      <c r="E3121">
        <v>141.69999999999999</v>
      </c>
      <c r="F3121">
        <v>100</v>
      </c>
      <c r="G3121">
        <v>99.2</v>
      </c>
      <c r="H3121">
        <v>153.9</v>
      </c>
      <c r="I3121">
        <v>159.69999999999999</v>
      </c>
      <c r="J3121">
        <v>100</v>
      </c>
      <c r="K3121">
        <v>100</v>
      </c>
      <c r="L3121" s="1" t="s">
        <v>7345</v>
      </c>
      <c r="M3121" t="s">
        <v>7347</v>
      </c>
      <c r="N3121">
        <v>4</v>
      </c>
    </row>
    <row r="3122" spans="1:14" x14ac:dyDescent="0.25">
      <c r="A3122" s="3" t="str">
        <f>HYPERLINK("http://www.ncbi.nlm.nih.gov/gene/11212","11212")</f>
        <v>11212</v>
      </c>
      <c r="B3122" s="1" t="s">
        <v>7348</v>
      </c>
      <c r="C3122" t="s">
        <v>7349</v>
      </c>
      <c r="D3122">
        <v>108.5</v>
      </c>
      <c r="E3122">
        <v>111.9</v>
      </c>
      <c r="F3122">
        <v>98.2</v>
      </c>
      <c r="G3122">
        <v>90.1</v>
      </c>
      <c r="H3122">
        <v>114.8</v>
      </c>
      <c r="I3122">
        <v>117.9</v>
      </c>
      <c r="J3122">
        <v>100</v>
      </c>
      <c r="K3122">
        <v>100</v>
      </c>
      <c r="L3122" s="1" t="s">
        <v>7348</v>
      </c>
      <c r="M3122" t="s">
        <v>41</v>
      </c>
      <c r="N3122">
        <v>6</v>
      </c>
    </row>
    <row r="3123" spans="1:14" x14ac:dyDescent="0.25">
      <c r="A3123" s="3" t="str">
        <f>HYPERLINK("http://www.ncbi.nlm.nih.gov/gene/403313","403313")</f>
        <v>403313</v>
      </c>
      <c r="B3123" s="1" t="s">
        <v>7350</v>
      </c>
      <c r="C3123" t="s">
        <v>7351</v>
      </c>
      <c r="D3123">
        <v>156.19999999999999</v>
      </c>
      <c r="E3123">
        <v>163.30000000000001</v>
      </c>
      <c r="F3123">
        <v>99.2</v>
      </c>
      <c r="G3123">
        <v>93.7</v>
      </c>
      <c r="H3123">
        <v>161.9</v>
      </c>
      <c r="I3123">
        <v>161.80000000000001</v>
      </c>
      <c r="J3123">
        <v>100</v>
      </c>
      <c r="K3123">
        <v>100</v>
      </c>
      <c r="L3123" s="1" t="s">
        <v>7350</v>
      </c>
      <c r="M3123" t="s">
        <v>22</v>
      </c>
      <c r="N3123">
        <v>1</v>
      </c>
    </row>
    <row r="3124" spans="1:14" x14ac:dyDescent="0.25">
      <c r="A3124" s="3" t="str">
        <f>HYPERLINK("http://www.ncbi.nlm.nih.gov/gene/5357","5357")</f>
        <v>5357</v>
      </c>
      <c r="B3124" s="1" t="s">
        <v>7352</v>
      </c>
      <c r="C3124" t="s">
        <v>7353</v>
      </c>
      <c r="D3124">
        <v>114.5</v>
      </c>
      <c r="E3124">
        <v>118.5</v>
      </c>
      <c r="F3124">
        <v>100</v>
      </c>
      <c r="G3124">
        <v>99.1</v>
      </c>
      <c r="H3124">
        <v>128.9</v>
      </c>
      <c r="I3124">
        <v>132.69999999999999</v>
      </c>
      <c r="J3124">
        <v>100</v>
      </c>
      <c r="K3124">
        <v>100</v>
      </c>
      <c r="L3124" s="1" t="s">
        <v>7352</v>
      </c>
      <c r="M3124" t="s">
        <v>76</v>
      </c>
      <c r="N3124">
        <v>2</v>
      </c>
    </row>
    <row r="3125" spans="1:14" x14ac:dyDescent="0.25">
      <c r="A3125" s="3" t="str">
        <f>HYPERLINK("http://www.ncbi.nlm.nih.gov/gene/5358","5358")</f>
        <v>5358</v>
      </c>
      <c r="B3125" s="1" t="s">
        <v>7354</v>
      </c>
      <c r="C3125" t="s">
        <v>7355</v>
      </c>
      <c r="D3125">
        <v>136.80000000000001</v>
      </c>
      <c r="E3125">
        <v>141.80000000000001</v>
      </c>
      <c r="F3125">
        <v>97.7</v>
      </c>
      <c r="G3125">
        <v>96.1</v>
      </c>
      <c r="H3125">
        <v>118.3</v>
      </c>
      <c r="I3125">
        <v>121.8</v>
      </c>
      <c r="J3125">
        <v>97.2</v>
      </c>
      <c r="K3125">
        <v>97.2</v>
      </c>
      <c r="L3125" s="1" t="s">
        <v>7354</v>
      </c>
      <c r="M3125" t="s">
        <v>7356</v>
      </c>
      <c r="N3125">
        <v>2</v>
      </c>
    </row>
    <row r="3126" spans="1:14" x14ac:dyDescent="0.25">
      <c r="A3126" s="3" t="str">
        <f>HYPERLINK("http://www.ncbi.nlm.nih.gov/gene/83483","83483")</f>
        <v>83483</v>
      </c>
      <c r="B3126" s="1" t="s">
        <v>7357</v>
      </c>
      <c r="C3126" t="s">
        <v>7358</v>
      </c>
      <c r="D3126">
        <v>154.9</v>
      </c>
      <c r="E3126">
        <v>159.19999999999999</v>
      </c>
      <c r="F3126">
        <v>100</v>
      </c>
      <c r="G3126">
        <v>100</v>
      </c>
      <c r="H3126">
        <v>153.9</v>
      </c>
      <c r="I3126">
        <v>157.4</v>
      </c>
      <c r="J3126">
        <v>100</v>
      </c>
      <c r="K3126">
        <v>100</v>
      </c>
      <c r="L3126" s="1" t="s">
        <v>7357</v>
      </c>
      <c r="M3126" t="s">
        <v>53</v>
      </c>
      <c r="N3126">
        <v>2</v>
      </c>
    </row>
    <row r="3127" spans="1:14" x14ac:dyDescent="0.25">
      <c r="A3127" s="3" t="str">
        <f>HYPERLINK("http://www.ncbi.nlm.nih.gov/gene/5361","5361")</f>
        <v>5361</v>
      </c>
      <c r="B3127" s="1" t="s">
        <v>7359</v>
      </c>
      <c r="C3127" t="s">
        <v>7360</v>
      </c>
      <c r="D3127">
        <v>170.2</v>
      </c>
      <c r="E3127">
        <v>177</v>
      </c>
      <c r="F3127">
        <v>100</v>
      </c>
      <c r="G3127">
        <v>99.6</v>
      </c>
      <c r="H3127">
        <v>172.8</v>
      </c>
      <c r="I3127">
        <v>176.8</v>
      </c>
      <c r="J3127">
        <v>100</v>
      </c>
      <c r="K3127">
        <v>100</v>
      </c>
      <c r="L3127" s="1" t="s">
        <v>7359</v>
      </c>
      <c r="M3127" t="s">
        <v>7361</v>
      </c>
      <c r="N3127">
        <v>3</v>
      </c>
    </row>
    <row r="3128" spans="1:14" x14ac:dyDescent="0.25">
      <c r="A3128" s="3" t="str">
        <f>HYPERLINK("http://www.ncbi.nlm.nih.gov/gene/23129","23129")</f>
        <v>23129</v>
      </c>
      <c r="B3128" s="1" t="s">
        <v>7362</v>
      </c>
      <c r="C3128" t="s">
        <v>7363</v>
      </c>
      <c r="D3128">
        <v>116.6</v>
      </c>
      <c r="E3128">
        <v>114.9</v>
      </c>
      <c r="F3128">
        <v>98.9</v>
      </c>
      <c r="G3128">
        <v>96.2</v>
      </c>
      <c r="H3128">
        <v>134.19999999999999</v>
      </c>
      <c r="I3128">
        <v>135.5</v>
      </c>
      <c r="J3128">
        <v>99.7</v>
      </c>
      <c r="K3128">
        <v>99.4</v>
      </c>
      <c r="L3128" s="1" t="s">
        <v>7362</v>
      </c>
      <c r="M3128" t="s">
        <v>189</v>
      </c>
      <c r="N3128">
        <v>2</v>
      </c>
    </row>
    <row r="3129" spans="1:14" x14ac:dyDescent="0.25">
      <c r="A3129" s="3" t="str">
        <f>HYPERLINK("http://www.ncbi.nlm.nih.gov/gene/56937","56937")</f>
        <v>56937</v>
      </c>
      <c r="B3129" s="1" t="s">
        <v>7364</v>
      </c>
      <c r="C3129" t="s">
        <v>7365</v>
      </c>
      <c r="D3129">
        <v>117.3</v>
      </c>
      <c r="E3129">
        <v>117.5</v>
      </c>
      <c r="F3129">
        <v>100</v>
      </c>
      <c r="G3129">
        <v>99.2</v>
      </c>
      <c r="H3129">
        <v>149.19999999999999</v>
      </c>
      <c r="I3129">
        <v>151.5</v>
      </c>
      <c r="J3129">
        <v>100</v>
      </c>
      <c r="K3129">
        <v>99.9</v>
      </c>
      <c r="L3129" s="1" t="s">
        <v>7364</v>
      </c>
      <c r="M3129" t="s">
        <v>741</v>
      </c>
      <c r="N3129">
        <v>3</v>
      </c>
    </row>
    <row r="3130" spans="1:14" x14ac:dyDescent="0.25">
      <c r="A3130" s="3" t="str">
        <f>HYPERLINK("http://www.ncbi.nlm.nih.gov/gene/83449","83449")</f>
        <v>83449</v>
      </c>
      <c r="B3130" s="1" t="s">
        <v>7366</v>
      </c>
      <c r="C3130" t="s">
        <v>7367</v>
      </c>
      <c r="D3130">
        <v>119.3</v>
      </c>
      <c r="E3130">
        <v>125</v>
      </c>
      <c r="F3130">
        <v>99.9</v>
      </c>
      <c r="G3130">
        <v>99.3</v>
      </c>
      <c r="H3130">
        <v>147.6</v>
      </c>
      <c r="I3130">
        <v>151.5</v>
      </c>
      <c r="J3130">
        <v>100</v>
      </c>
      <c r="K3130">
        <v>100</v>
      </c>
      <c r="L3130" s="1" t="s">
        <v>7366</v>
      </c>
      <c r="M3130" t="s">
        <v>1495</v>
      </c>
      <c r="N3130">
        <v>2</v>
      </c>
    </row>
    <row r="3131" spans="1:14" x14ac:dyDescent="0.25">
      <c r="A3131" s="3" t="str">
        <f>HYPERLINK("http://www.ncbi.nlm.nih.gov/gene/5371","5371")</f>
        <v>5371</v>
      </c>
      <c r="B3131" s="1" t="s">
        <v>7368</v>
      </c>
      <c r="C3131" t="s">
        <v>7369</v>
      </c>
      <c r="D3131">
        <v>153.30000000000001</v>
      </c>
      <c r="E3131">
        <v>148.4</v>
      </c>
      <c r="F3131">
        <v>100</v>
      </c>
      <c r="G3131">
        <v>99.8</v>
      </c>
      <c r="H3131">
        <v>164.4</v>
      </c>
      <c r="I3131">
        <v>165.4</v>
      </c>
      <c r="J3131">
        <v>100</v>
      </c>
      <c r="K3131">
        <v>100</v>
      </c>
      <c r="L3131" s="1" t="s">
        <v>7368</v>
      </c>
      <c r="M3131" t="s">
        <v>22</v>
      </c>
      <c r="N3131">
        <v>1</v>
      </c>
    </row>
    <row r="3132" spans="1:14" x14ac:dyDescent="0.25">
      <c r="A3132" s="3" t="str">
        <f>HYPERLINK("http://www.ncbi.nlm.nih.gov/gene/5373","5373")</f>
        <v>5373</v>
      </c>
      <c r="B3132" s="1" t="s">
        <v>7370</v>
      </c>
      <c r="C3132" t="s">
        <v>7371</v>
      </c>
      <c r="D3132">
        <v>141.9</v>
      </c>
      <c r="E3132">
        <v>145.4</v>
      </c>
      <c r="F3132">
        <v>100</v>
      </c>
      <c r="G3132">
        <v>100</v>
      </c>
      <c r="H3132">
        <v>115</v>
      </c>
      <c r="I3132">
        <v>117.2</v>
      </c>
      <c r="J3132">
        <v>100</v>
      </c>
      <c r="K3132">
        <v>100</v>
      </c>
      <c r="L3132" s="1" t="s">
        <v>7370</v>
      </c>
      <c r="M3132" t="s">
        <v>7372</v>
      </c>
      <c r="N3132">
        <v>10</v>
      </c>
    </row>
    <row r="3133" spans="1:14" x14ac:dyDescent="0.25">
      <c r="A3133" s="3" t="str">
        <f>HYPERLINK("http://www.ncbi.nlm.nih.gov/gene/5375","5375")</f>
        <v>5375</v>
      </c>
      <c r="B3133" s="1" t="s">
        <v>7373</v>
      </c>
      <c r="C3133" t="s">
        <v>7374</v>
      </c>
      <c r="D3133">
        <v>145.4</v>
      </c>
      <c r="E3133">
        <v>149</v>
      </c>
      <c r="F3133">
        <v>100</v>
      </c>
      <c r="G3133">
        <v>100</v>
      </c>
      <c r="H3133">
        <v>134.4</v>
      </c>
      <c r="I3133">
        <v>137.1</v>
      </c>
      <c r="J3133">
        <v>100</v>
      </c>
      <c r="K3133">
        <v>100</v>
      </c>
      <c r="L3133" s="1" t="s">
        <v>7373</v>
      </c>
      <c r="M3133" t="s">
        <v>718</v>
      </c>
      <c r="N3133">
        <v>2</v>
      </c>
    </row>
    <row r="3134" spans="1:14" x14ac:dyDescent="0.25">
      <c r="A3134" s="3" t="str">
        <f>HYPERLINK("http://www.ncbi.nlm.nih.gov/gene/5376","5376")</f>
        <v>5376</v>
      </c>
      <c r="B3134" s="1" t="s">
        <v>7375</v>
      </c>
      <c r="C3134" t="s">
        <v>7376</v>
      </c>
      <c r="D3134">
        <v>118.6</v>
      </c>
      <c r="E3134">
        <v>123.5</v>
      </c>
      <c r="F3134">
        <v>100</v>
      </c>
      <c r="G3134">
        <v>100</v>
      </c>
      <c r="H3134">
        <v>150.4</v>
      </c>
      <c r="I3134">
        <v>153.9</v>
      </c>
      <c r="J3134">
        <v>100</v>
      </c>
      <c r="K3134">
        <v>100</v>
      </c>
      <c r="L3134" s="1" t="s">
        <v>7375</v>
      </c>
      <c r="M3134" t="s">
        <v>7377</v>
      </c>
      <c r="N3134">
        <v>4</v>
      </c>
    </row>
    <row r="3135" spans="1:14" x14ac:dyDescent="0.25">
      <c r="A3135" s="3" t="str">
        <f>HYPERLINK("http://www.ncbi.nlm.nih.gov/gene/23203","23203")</f>
        <v>23203</v>
      </c>
      <c r="B3135" s="1" t="s">
        <v>7378</v>
      </c>
      <c r="C3135" t="s">
        <v>7379</v>
      </c>
      <c r="D3135">
        <v>117.7</v>
      </c>
      <c r="E3135">
        <v>123.2</v>
      </c>
      <c r="F3135">
        <v>97.7</v>
      </c>
      <c r="G3135">
        <v>94.2</v>
      </c>
      <c r="H3135">
        <v>136.9</v>
      </c>
      <c r="I3135">
        <v>140.5</v>
      </c>
      <c r="J3135">
        <v>100</v>
      </c>
      <c r="K3135">
        <v>100</v>
      </c>
      <c r="L3135" s="1" t="s">
        <v>7378</v>
      </c>
      <c r="M3135" t="s">
        <v>597</v>
      </c>
      <c r="N3135">
        <v>5</v>
      </c>
    </row>
    <row r="3136" spans="1:14" x14ac:dyDescent="0.25">
      <c r="A3136" s="3" t="str">
        <f>HYPERLINK("http://www.ncbi.nlm.nih.gov/gene/9512","9512")</f>
        <v>9512</v>
      </c>
      <c r="B3136" s="1" t="s">
        <v>7380</v>
      </c>
      <c r="C3136" t="s">
        <v>7381</v>
      </c>
      <c r="D3136">
        <v>142.6</v>
      </c>
      <c r="E3136">
        <v>145.80000000000001</v>
      </c>
      <c r="F3136">
        <v>100</v>
      </c>
      <c r="G3136">
        <v>99.7</v>
      </c>
      <c r="H3136">
        <v>138.4</v>
      </c>
      <c r="I3136">
        <v>141.80000000000001</v>
      </c>
      <c r="J3136">
        <v>100</v>
      </c>
      <c r="K3136">
        <v>100</v>
      </c>
      <c r="L3136" s="1" t="s">
        <v>7380</v>
      </c>
      <c r="M3136" t="s">
        <v>830</v>
      </c>
      <c r="N3136">
        <v>4</v>
      </c>
    </row>
    <row r="3137" spans="1:14" x14ac:dyDescent="0.25">
      <c r="A3137" s="3" t="str">
        <f>HYPERLINK("http://www.ncbi.nlm.nih.gov/gene/5395","5395")</f>
        <v>5395</v>
      </c>
      <c r="B3137" s="1" t="s">
        <v>7382</v>
      </c>
      <c r="C3137" t="s">
        <v>7383</v>
      </c>
      <c r="D3137">
        <v>118.1</v>
      </c>
      <c r="E3137">
        <v>125.2</v>
      </c>
      <c r="F3137">
        <v>84.3</v>
      </c>
      <c r="G3137">
        <v>82.8</v>
      </c>
      <c r="H3137">
        <v>134.80000000000001</v>
      </c>
      <c r="I3137">
        <v>136.1</v>
      </c>
      <c r="J3137">
        <v>100</v>
      </c>
      <c r="K3137">
        <v>100</v>
      </c>
      <c r="L3137" s="1" t="s">
        <v>7382</v>
      </c>
      <c r="M3137" t="s">
        <v>7384</v>
      </c>
      <c r="N3137">
        <v>5</v>
      </c>
    </row>
    <row r="3138" spans="1:14" x14ac:dyDescent="0.25">
      <c r="A3138" s="3" t="str">
        <f>HYPERLINK("http://www.ncbi.nlm.nih.gov/gene/441194","441194")</f>
        <v>441194</v>
      </c>
      <c r="B3138" s="1" t="s">
        <v>7385</v>
      </c>
      <c r="C3138" t="s">
        <v>7386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 s="1" t="s">
        <v>7385</v>
      </c>
      <c r="M3138" t="s">
        <v>4178</v>
      </c>
      <c r="N3138">
        <v>2</v>
      </c>
    </row>
    <row r="3139" spans="1:14" x14ac:dyDescent="0.25">
      <c r="A3139" s="3" t="str">
        <f>HYPERLINK("http://www.ncbi.nlm.nih.gov/gene/10654","10654")</f>
        <v>10654</v>
      </c>
      <c r="B3139" s="1" t="s">
        <v>7387</v>
      </c>
      <c r="C3139" t="s">
        <v>7388</v>
      </c>
      <c r="D3139">
        <v>122.8</v>
      </c>
      <c r="E3139">
        <v>128.80000000000001</v>
      </c>
      <c r="F3139">
        <v>100</v>
      </c>
      <c r="G3139">
        <v>100</v>
      </c>
      <c r="H3139">
        <v>128.1</v>
      </c>
      <c r="I3139">
        <v>132</v>
      </c>
      <c r="J3139">
        <v>100</v>
      </c>
      <c r="K3139">
        <v>100</v>
      </c>
      <c r="L3139" s="1" t="s">
        <v>7387</v>
      </c>
      <c r="M3139" t="s">
        <v>29</v>
      </c>
      <c r="N3139">
        <v>2</v>
      </c>
    </row>
    <row r="3140" spans="1:14" x14ac:dyDescent="0.25">
      <c r="A3140" s="3" t="str">
        <f>HYPERLINK("http://www.ncbi.nlm.nih.gov/gene/25953","25953")</f>
        <v>25953</v>
      </c>
      <c r="B3140" s="1" t="s">
        <v>7389</v>
      </c>
      <c r="C3140" t="s">
        <v>7390</v>
      </c>
      <c r="D3140">
        <v>140.1</v>
      </c>
      <c r="E3140">
        <v>147.4</v>
      </c>
      <c r="F3140">
        <v>100</v>
      </c>
      <c r="G3140">
        <v>99.9</v>
      </c>
      <c r="H3140">
        <v>135.9</v>
      </c>
      <c r="I3140">
        <v>139.4</v>
      </c>
      <c r="J3140">
        <v>100</v>
      </c>
      <c r="K3140">
        <v>100</v>
      </c>
      <c r="L3140" s="1" t="s">
        <v>7389</v>
      </c>
      <c r="M3140" t="s">
        <v>600</v>
      </c>
      <c r="N3140">
        <v>2</v>
      </c>
    </row>
    <row r="3141" spans="1:14" x14ac:dyDescent="0.25">
      <c r="A3141" s="3" t="str">
        <f>HYPERLINK("http://www.ncbi.nlm.nih.gov/gene/11284","11284")</f>
        <v>11284</v>
      </c>
      <c r="B3141" s="1" t="s">
        <v>7391</v>
      </c>
      <c r="C3141" t="s">
        <v>7392</v>
      </c>
      <c r="D3141">
        <v>111</v>
      </c>
      <c r="E3141">
        <v>112</v>
      </c>
      <c r="F3141">
        <v>100</v>
      </c>
      <c r="G3141">
        <v>100</v>
      </c>
      <c r="H3141">
        <v>137.1</v>
      </c>
      <c r="I3141">
        <v>139.30000000000001</v>
      </c>
      <c r="J3141">
        <v>100</v>
      </c>
      <c r="K3141">
        <v>100</v>
      </c>
      <c r="L3141" s="1" t="s">
        <v>7391</v>
      </c>
      <c r="M3141" t="s">
        <v>7393</v>
      </c>
      <c r="N3141">
        <v>6</v>
      </c>
    </row>
    <row r="3142" spans="1:14" x14ac:dyDescent="0.25">
      <c r="A3142" s="3" t="str">
        <f>HYPERLINK("http://www.ncbi.nlm.nih.gov/gene/5406","5406")</f>
        <v>5406</v>
      </c>
      <c r="B3142" s="1" t="s">
        <v>7394</v>
      </c>
      <c r="C3142" t="s">
        <v>7395</v>
      </c>
      <c r="D3142">
        <v>167.1</v>
      </c>
      <c r="E3142">
        <v>172.3</v>
      </c>
      <c r="F3142">
        <v>100</v>
      </c>
      <c r="G3142">
        <v>99.8</v>
      </c>
      <c r="H3142">
        <v>133.69999999999999</v>
      </c>
      <c r="I3142">
        <v>137.4</v>
      </c>
      <c r="J3142">
        <v>100</v>
      </c>
      <c r="K3142">
        <v>100</v>
      </c>
      <c r="L3142" s="1" t="s">
        <v>7394</v>
      </c>
      <c r="M3142" t="s">
        <v>116</v>
      </c>
      <c r="N3142">
        <v>3</v>
      </c>
    </row>
    <row r="3143" spans="1:14" x14ac:dyDescent="0.25">
      <c r="A3143" s="3" t="str">
        <f>HYPERLINK("http://www.ncbi.nlm.nih.gov/gene/5409","5409")</f>
        <v>5409</v>
      </c>
      <c r="B3143" s="1" t="s">
        <v>7396</v>
      </c>
      <c r="C3143" t="s">
        <v>7397</v>
      </c>
      <c r="D3143">
        <v>90.8</v>
      </c>
      <c r="E3143">
        <v>88.3</v>
      </c>
      <c r="F3143">
        <v>99.6</v>
      </c>
      <c r="G3143">
        <v>96.7</v>
      </c>
      <c r="H3143">
        <v>139.9</v>
      </c>
      <c r="I3143">
        <v>143.6</v>
      </c>
      <c r="J3143">
        <v>100</v>
      </c>
      <c r="K3143">
        <v>100</v>
      </c>
      <c r="L3143" s="1" t="s">
        <v>7396</v>
      </c>
      <c r="M3143" t="s">
        <v>93</v>
      </c>
      <c r="N3143">
        <v>2</v>
      </c>
    </row>
    <row r="3144" spans="1:14" x14ac:dyDescent="0.25">
      <c r="A3144" s="3" t="str">
        <f>HYPERLINK("http://www.ncbi.nlm.nih.gov/gene/4860","4860")</f>
        <v>4860</v>
      </c>
      <c r="B3144" s="1" t="s">
        <v>7398</v>
      </c>
      <c r="C3144" t="s">
        <v>7399</v>
      </c>
      <c r="D3144">
        <v>117.9</v>
      </c>
      <c r="E3144">
        <v>124.6</v>
      </c>
      <c r="F3144">
        <v>99.8</v>
      </c>
      <c r="G3144">
        <v>98.9</v>
      </c>
      <c r="H3144">
        <v>138.9</v>
      </c>
      <c r="I3144">
        <v>143.5</v>
      </c>
      <c r="J3144">
        <v>100</v>
      </c>
      <c r="K3144">
        <v>100</v>
      </c>
      <c r="L3144" s="1" t="s">
        <v>7398</v>
      </c>
      <c r="M3144" t="s">
        <v>7400</v>
      </c>
      <c r="N3144">
        <v>6</v>
      </c>
    </row>
    <row r="3145" spans="1:14" x14ac:dyDescent="0.25">
      <c r="A3145" s="3" t="str">
        <f>HYPERLINK("http://www.ncbi.nlm.nih.gov/gene/285848","285848")</f>
        <v>285848</v>
      </c>
      <c r="B3145" s="1" t="s">
        <v>7401</v>
      </c>
      <c r="C3145" t="s">
        <v>7402</v>
      </c>
      <c r="D3145">
        <v>185.5</v>
      </c>
      <c r="E3145">
        <v>192.5</v>
      </c>
      <c r="F3145">
        <v>100</v>
      </c>
      <c r="G3145">
        <v>100</v>
      </c>
      <c r="H3145">
        <v>142.30000000000001</v>
      </c>
      <c r="I3145">
        <v>147.19999999999999</v>
      </c>
      <c r="J3145">
        <v>100</v>
      </c>
      <c r="K3145">
        <v>100</v>
      </c>
      <c r="L3145" s="1" t="s">
        <v>7401</v>
      </c>
      <c r="M3145" t="s">
        <v>246</v>
      </c>
      <c r="N3145">
        <v>3</v>
      </c>
    </row>
    <row r="3146" spans="1:14" x14ac:dyDescent="0.25">
      <c r="A3146" s="3" t="str">
        <f>HYPERLINK("http://www.ncbi.nlm.nih.gov/gene/57104","57104")</f>
        <v>57104</v>
      </c>
      <c r="B3146" s="1" t="s">
        <v>7403</v>
      </c>
      <c r="C3146" t="s">
        <v>7404</v>
      </c>
      <c r="D3146">
        <v>128.19999999999999</v>
      </c>
      <c r="E3146">
        <v>128.9</v>
      </c>
      <c r="F3146">
        <v>99.7</v>
      </c>
      <c r="G3146">
        <v>96.1</v>
      </c>
      <c r="H3146">
        <v>163.1</v>
      </c>
      <c r="I3146">
        <v>167.7</v>
      </c>
      <c r="J3146">
        <v>100</v>
      </c>
      <c r="K3146">
        <v>100</v>
      </c>
      <c r="L3146" s="1" t="s">
        <v>7403</v>
      </c>
      <c r="M3146" t="s">
        <v>7405</v>
      </c>
      <c r="N3146">
        <v>6</v>
      </c>
    </row>
    <row r="3147" spans="1:14" x14ac:dyDescent="0.25">
      <c r="A3147" s="3" t="str">
        <f>HYPERLINK("http://www.ncbi.nlm.nih.gov/gene/10908","10908")</f>
        <v>10908</v>
      </c>
      <c r="B3147" s="1" t="s">
        <v>7406</v>
      </c>
      <c r="C3147" t="s">
        <v>7407</v>
      </c>
      <c r="D3147">
        <v>133.9</v>
      </c>
      <c r="E3147">
        <v>139.69999999999999</v>
      </c>
      <c r="F3147">
        <v>100</v>
      </c>
      <c r="G3147">
        <v>99.7</v>
      </c>
      <c r="H3147">
        <v>142.80000000000001</v>
      </c>
      <c r="I3147">
        <v>146.1</v>
      </c>
      <c r="J3147">
        <v>100</v>
      </c>
      <c r="K3147">
        <v>100</v>
      </c>
      <c r="L3147" s="1" t="s">
        <v>7406</v>
      </c>
      <c r="M3147" t="s">
        <v>7408</v>
      </c>
      <c r="N3147">
        <v>8</v>
      </c>
    </row>
    <row r="3148" spans="1:14" x14ac:dyDescent="0.25">
      <c r="A3148" s="3" t="str">
        <f>HYPERLINK("http://www.ncbi.nlm.nih.gov/gene/50640","50640")</f>
        <v>50640</v>
      </c>
      <c r="B3148" s="1" t="s">
        <v>7409</v>
      </c>
      <c r="C3148" t="s">
        <v>7410</v>
      </c>
      <c r="D3148">
        <v>141.69999999999999</v>
      </c>
      <c r="E3148">
        <v>140.1</v>
      </c>
      <c r="F3148">
        <v>100</v>
      </c>
      <c r="G3148">
        <v>99.8</v>
      </c>
      <c r="H3148">
        <v>130.69999999999999</v>
      </c>
      <c r="I3148">
        <v>133.4</v>
      </c>
      <c r="J3148">
        <v>100</v>
      </c>
      <c r="K3148">
        <v>100</v>
      </c>
      <c r="L3148" s="1" t="s">
        <v>7409</v>
      </c>
      <c r="M3148" t="s">
        <v>766</v>
      </c>
      <c r="N3148">
        <v>3</v>
      </c>
    </row>
    <row r="3149" spans="1:14" x14ac:dyDescent="0.25">
      <c r="A3149" s="3" t="str">
        <f>HYPERLINK("http://www.ncbi.nlm.nih.gov/gene/55163","55163")</f>
        <v>55163</v>
      </c>
      <c r="B3149" s="1" t="s">
        <v>7411</v>
      </c>
      <c r="C3149" t="s">
        <v>7412</v>
      </c>
      <c r="D3149">
        <v>74.5</v>
      </c>
      <c r="E3149">
        <v>78.400000000000006</v>
      </c>
      <c r="F3149">
        <v>99.9</v>
      </c>
      <c r="G3149">
        <v>97.7</v>
      </c>
      <c r="H3149">
        <v>132.30000000000001</v>
      </c>
      <c r="I3149">
        <v>135.80000000000001</v>
      </c>
      <c r="J3149">
        <v>100</v>
      </c>
      <c r="K3149">
        <v>100</v>
      </c>
      <c r="L3149" s="1" t="s">
        <v>7411</v>
      </c>
      <c r="M3149" t="s">
        <v>7413</v>
      </c>
      <c r="N3149">
        <v>4</v>
      </c>
    </row>
    <row r="3150" spans="1:14" x14ac:dyDescent="0.25">
      <c r="A3150" s="3" t="str">
        <f>HYPERLINK("http://www.ncbi.nlm.nih.gov/gene/87178","87178")</f>
        <v>87178</v>
      </c>
      <c r="B3150" s="1" t="s">
        <v>7414</v>
      </c>
      <c r="C3150" t="s">
        <v>7415</v>
      </c>
      <c r="D3150">
        <v>61.9</v>
      </c>
      <c r="E3150">
        <v>63.9</v>
      </c>
      <c r="F3150">
        <v>97.7</v>
      </c>
      <c r="G3150">
        <v>89.7</v>
      </c>
      <c r="H3150">
        <v>122</v>
      </c>
      <c r="I3150">
        <v>124.8</v>
      </c>
      <c r="J3150">
        <v>100</v>
      </c>
      <c r="K3150">
        <v>100</v>
      </c>
      <c r="L3150" s="1" t="s">
        <v>7414</v>
      </c>
      <c r="M3150" t="s">
        <v>4946</v>
      </c>
      <c r="N3150">
        <v>5</v>
      </c>
    </row>
    <row r="3151" spans="1:14" x14ac:dyDescent="0.25">
      <c r="A3151" s="3" t="str">
        <f>HYPERLINK("http://www.ncbi.nlm.nih.gov/gene/25886","25886")</f>
        <v>25886</v>
      </c>
      <c r="B3151" s="1" t="s">
        <v>7416</v>
      </c>
      <c r="C3151" t="s">
        <v>7417</v>
      </c>
      <c r="D3151">
        <v>127.8</v>
      </c>
      <c r="E3151">
        <v>133.19999999999999</v>
      </c>
      <c r="F3151">
        <v>100</v>
      </c>
      <c r="G3151">
        <v>100</v>
      </c>
      <c r="H3151">
        <v>129.4</v>
      </c>
      <c r="I3151">
        <v>132.69999999999999</v>
      </c>
      <c r="J3151">
        <v>100</v>
      </c>
      <c r="K3151">
        <v>100</v>
      </c>
      <c r="L3151" s="1" t="s">
        <v>7416</v>
      </c>
      <c r="M3151" t="s">
        <v>7418</v>
      </c>
      <c r="N3151">
        <v>5</v>
      </c>
    </row>
    <row r="3152" spans="1:14" x14ac:dyDescent="0.25">
      <c r="A3152" s="3" t="str">
        <f>HYPERLINK("http://www.ncbi.nlm.nih.gov/gene/282809","282809")</f>
        <v>282809</v>
      </c>
      <c r="B3152" s="1" t="s">
        <v>7419</v>
      </c>
      <c r="C3152" t="s">
        <v>7420</v>
      </c>
      <c r="D3152">
        <v>92.6</v>
      </c>
      <c r="E3152">
        <v>96.6</v>
      </c>
      <c r="F3152">
        <v>99.8</v>
      </c>
      <c r="G3152">
        <v>98.8</v>
      </c>
      <c r="H3152">
        <v>131</v>
      </c>
      <c r="I3152">
        <v>135.19999999999999</v>
      </c>
      <c r="J3152">
        <v>100</v>
      </c>
      <c r="K3152">
        <v>100</v>
      </c>
      <c r="L3152" s="1" t="s">
        <v>7419</v>
      </c>
      <c r="M3152" t="s">
        <v>56</v>
      </c>
      <c r="N3152">
        <v>3</v>
      </c>
    </row>
    <row r="3153" spans="1:14" x14ac:dyDescent="0.25">
      <c r="A3153" s="3" t="str">
        <f>HYPERLINK("http://www.ncbi.nlm.nih.gov/gene/134359","134359")</f>
        <v>134359</v>
      </c>
      <c r="B3153" s="1" t="s">
        <v>7421</v>
      </c>
      <c r="C3153" t="s">
        <v>7422</v>
      </c>
      <c r="D3153">
        <v>162.19999999999999</v>
      </c>
      <c r="E3153">
        <v>168.8</v>
      </c>
      <c r="F3153">
        <v>99.7</v>
      </c>
      <c r="G3153">
        <v>97.6</v>
      </c>
      <c r="H3153">
        <v>132.30000000000001</v>
      </c>
      <c r="I3153">
        <v>136.69999999999999</v>
      </c>
      <c r="J3153">
        <v>100</v>
      </c>
      <c r="K3153">
        <v>100</v>
      </c>
      <c r="L3153" s="1" t="s">
        <v>7421</v>
      </c>
      <c r="M3153" t="s">
        <v>817</v>
      </c>
      <c r="N3153">
        <v>2</v>
      </c>
    </row>
    <row r="3154" spans="1:14" x14ac:dyDescent="0.25">
      <c r="A3154" s="3" t="str">
        <f>HYPERLINK("http://www.ncbi.nlm.nih.gov/gene/79983","79983")</f>
        <v>79983</v>
      </c>
      <c r="B3154" s="1" t="s">
        <v>7423</v>
      </c>
      <c r="C3154" t="s">
        <v>7424</v>
      </c>
      <c r="D3154">
        <v>87.5</v>
      </c>
      <c r="E3154">
        <v>90.5</v>
      </c>
      <c r="F3154">
        <v>95.6</v>
      </c>
      <c r="G3154">
        <v>86.9</v>
      </c>
      <c r="H3154">
        <v>113.5</v>
      </c>
      <c r="I3154">
        <v>116.3</v>
      </c>
      <c r="J3154">
        <v>100</v>
      </c>
      <c r="K3154">
        <v>99.8</v>
      </c>
      <c r="L3154" s="1" t="s">
        <v>7423</v>
      </c>
      <c r="M3154" t="s">
        <v>868</v>
      </c>
      <c r="N3154">
        <v>1</v>
      </c>
    </row>
    <row r="3155" spans="1:14" x14ac:dyDescent="0.25">
      <c r="A3155" s="3" t="str">
        <f>HYPERLINK("http://www.ncbi.nlm.nih.gov/gene/23509","23509")</f>
        <v>23509</v>
      </c>
      <c r="B3155" s="1" t="s">
        <v>7425</v>
      </c>
      <c r="C3155" t="s">
        <v>7426</v>
      </c>
      <c r="D3155">
        <v>140.5</v>
      </c>
      <c r="E3155">
        <v>150.4</v>
      </c>
      <c r="F3155">
        <v>100</v>
      </c>
      <c r="G3155">
        <v>99</v>
      </c>
      <c r="H3155">
        <v>134</v>
      </c>
      <c r="I3155">
        <v>139</v>
      </c>
      <c r="J3155">
        <v>100</v>
      </c>
      <c r="K3155">
        <v>100</v>
      </c>
      <c r="L3155" s="1" t="s">
        <v>7425</v>
      </c>
      <c r="M3155" t="s">
        <v>7331</v>
      </c>
      <c r="N3155">
        <v>3</v>
      </c>
    </row>
    <row r="3156" spans="1:14" x14ac:dyDescent="0.25">
      <c r="A3156" s="3" t="str">
        <f>HYPERLINK("http://www.ncbi.nlm.nih.gov/gene/56983","56983")</f>
        <v>56983</v>
      </c>
      <c r="B3156" s="1" t="s">
        <v>7427</v>
      </c>
      <c r="C3156" t="s">
        <v>7428</v>
      </c>
      <c r="D3156">
        <v>119.4</v>
      </c>
      <c r="E3156">
        <v>123.6</v>
      </c>
      <c r="F3156">
        <v>99.4</v>
      </c>
      <c r="G3156">
        <v>94.6</v>
      </c>
      <c r="H3156">
        <v>129.80000000000001</v>
      </c>
      <c r="I3156">
        <v>133.30000000000001</v>
      </c>
      <c r="J3156">
        <v>100</v>
      </c>
      <c r="K3156">
        <v>100</v>
      </c>
      <c r="L3156" s="1" t="s">
        <v>7427</v>
      </c>
      <c r="M3156" t="s">
        <v>7429</v>
      </c>
      <c r="N3156">
        <v>4</v>
      </c>
    </row>
    <row r="3157" spans="1:14" x14ac:dyDescent="0.25">
      <c r="A3157" s="3" t="str">
        <f>HYPERLINK("http://www.ncbi.nlm.nih.gov/gene/23126","23126")</f>
        <v>23126</v>
      </c>
      <c r="B3157" s="1" t="s">
        <v>7430</v>
      </c>
      <c r="C3157" t="s">
        <v>7431</v>
      </c>
      <c r="D3157">
        <v>149.80000000000001</v>
      </c>
      <c r="E3157">
        <v>142.19999999999999</v>
      </c>
      <c r="F3157">
        <v>99.4</v>
      </c>
      <c r="G3157">
        <v>99</v>
      </c>
      <c r="H3157">
        <v>141.6</v>
      </c>
      <c r="I3157">
        <v>144.69999999999999</v>
      </c>
      <c r="J3157">
        <v>100</v>
      </c>
      <c r="K3157">
        <v>100</v>
      </c>
      <c r="L3157" s="1" t="s">
        <v>7430</v>
      </c>
      <c r="M3157" t="s">
        <v>189</v>
      </c>
      <c r="N3157">
        <v>2</v>
      </c>
    </row>
    <row r="3158" spans="1:14" x14ac:dyDescent="0.25">
      <c r="A3158" s="3" t="str">
        <f>HYPERLINK("http://www.ncbi.nlm.nih.gov/gene/5422","5422")</f>
        <v>5422</v>
      </c>
      <c r="B3158" s="1" t="s">
        <v>7432</v>
      </c>
      <c r="C3158" t="s">
        <v>7433</v>
      </c>
      <c r="D3158">
        <v>119.7</v>
      </c>
      <c r="E3158">
        <v>123.1</v>
      </c>
      <c r="F3158">
        <v>99.3</v>
      </c>
      <c r="G3158">
        <v>95.4</v>
      </c>
      <c r="H3158">
        <v>110.3</v>
      </c>
      <c r="I3158">
        <v>113.3</v>
      </c>
      <c r="J3158">
        <v>100</v>
      </c>
      <c r="K3158">
        <v>99.9</v>
      </c>
      <c r="L3158" s="1" t="s">
        <v>7432</v>
      </c>
      <c r="M3158" t="s">
        <v>7434</v>
      </c>
      <c r="N3158">
        <v>3</v>
      </c>
    </row>
    <row r="3159" spans="1:14" x14ac:dyDescent="0.25">
      <c r="A3159" s="3" t="str">
        <f>HYPERLINK("http://www.ncbi.nlm.nih.gov/gene/5424","5424")</f>
        <v>5424</v>
      </c>
      <c r="B3159" s="1" t="s">
        <v>7435</v>
      </c>
      <c r="C3159" t="s">
        <v>7436</v>
      </c>
      <c r="D3159">
        <v>118.3</v>
      </c>
      <c r="E3159">
        <v>121.7</v>
      </c>
      <c r="F3159">
        <v>98.5</v>
      </c>
      <c r="G3159">
        <v>95.2</v>
      </c>
      <c r="H3159">
        <v>159.9</v>
      </c>
      <c r="I3159">
        <v>164.9</v>
      </c>
      <c r="J3159">
        <v>100</v>
      </c>
      <c r="K3159">
        <v>100</v>
      </c>
      <c r="L3159" s="1" t="s">
        <v>7435</v>
      </c>
      <c r="M3159" t="s">
        <v>7437</v>
      </c>
      <c r="N3159">
        <v>4</v>
      </c>
    </row>
    <row r="3160" spans="1:14" x14ac:dyDescent="0.25">
      <c r="A3160" s="3" t="str">
        <f>HYPERLINK("http://www.ncbi.nlm.nih.gov/gene/5426","5426")</f>
        <v>5426</v>
      </c>
      <c r="B3160" s="1" t="s">
        <v>7438</v>
      </c>
      <c r="C3160" t="s">
        <v>7439</v>
      </c>
      <c r="D3160">
        <v>135.4</v>
      </c>
      <c r="E3160">
        <v>140.6</v>
      </c>
      <c r="F3160">
        <v>100</v>
      </c>
      <c r="G3160">
        <v>99.8</v>
      </c>
      <c r="H3160">
        <v>136.9</v>
      </c>
      <c r="I3160">
        <v>140.9</v>
      </c>
      <c r="J3160">
        <v>100</v>
      </c>
      <c r="K3160">
        <v>100</v>
      </c>
      <c r="L3160" s="1" t="s">
        <v>7438</v>
      </c>
      <c r="M3160" t="s">
        <v>7440</v>
      </c>
      <c r="N3160">
        <v>6</v>
      </c>
    </row>
    <row r="3161" spans="1:14" x14ac:dyDescent="0.25">
      <c r="A3161" s="3" t="str">
        <f>HYPERLINK("http://www.ncbi.nlm.nih.gov/gene/5427","5427")</f>
        <v>5427</v>
      </c>
      <c r="B3161" s="1" t="s">
        <v>7441</v>
      </c>
      <c r="C3161" t="s">
        <v>7442</v>
      </c>
      <c r="D3161">
        <v>79.7</v>
      </c>
      <c r="E3161">
        <v>82</v>
      </c>
      <c r="F3161">
        <v>97.3</v>
      </c>
      <c r="G3161">
        <v>89.8</v>
      </c>
      <c r="H3161">
        <v>110.4</v>
      </c>
      <c r="I3161">
        <v>113.1</v>
      </c>
      <c r="J3161">
        <v>100</v>
      </c>
      <c r="K3161">
        <v>100</v>
      </c>
      <c r="L3161" s="1" t="s">
        <v>7441</v>
      </c>
      <c r="M3161" t="s">
        <v>502</v>
      </c>
      <c r="N3161">
        <v>2</v>
      </c>
    </row>
    <row r="3162" spans="1:14" x14ac:dyDescent="0.25">
      <c r="A3162" s="3" t="str">
        <f>HYPERLINK("http://www.ncbi.nlm.nih.gov/gene/5428","5428")</f>
        <v>5428</v>
      </c>
      <c r="B3162" s="1" t="s">
        <v>7443</v>
      </c>
      <c r="C3162" t="s">
        <v>7444</v>
      </c>
      <c r="D3162">
        <v>111.7</v>
      </c>
      <c r="E3162">
        <v>111.5</v>
      </c>
      <c r="F3162">
        <v>100</v>
      </c>
      <c r="G3162">
        <v>99.3</v>
      </c>
      <c r="H3162">
        <v>143.19999999999999</v>
      </c>
      <c r="I3162">
        <v>146.4</v>
      </c>
      <c r="J3162">
        <v>100</v>
      </c>
      <c r="K3162">
        <v>100</v>
      </c>
      <c r="L3162" s="1" t="s">
        <v>7443</v>
      </c>
      <c r="M3162" t="s">
        <v>7445</v>
      </c>
      <c r="N3162">
        <v>12</v>
      </c>
    </row>
    <row r="3163" spans="1:14" x14ac:dyDescent="0.25">
      <c r="A3163" s="3" t="str">
        <f>HYPERLINK("http://www.ncbi.nlm.nih.gov/gene/11232","11232")</f>
        <v>11232</v>
      </c>
      <c r="B3163" s="1" t="s">
        <v>7446</v>
      </c>
      <c r="C3163" t="s">
        <v>7447</v>
      </c>
      <c r="D3163">
        <v>238.5</v>
      </c>
      <c r="E3163">
        <v>235.4</v>
      </c>
      <c r="F3163">
        <v>99.6</v>
      </c>
      <c r="G3163">
        <v>98</v>
      </c>
      <c r="H3163">
        <v>137.9</v>
      </c>
      <c r="I3163">
        <v>140.80000000000001</v>
      </c>
      <c r="J3163">
        <v>100</v>
      </c>
      <c r="K3163">
        <v>99.9</v>
      </c>
      <c r="L3163" s="1" t="s">
        <v>7446</v>
      </c>
      <c r="M3163" t="s">
        <v>7448</v>
      </c>
      <c r="N3163">
        <v>4</v>
      </c>
    </row>
    <row r="3164" spans="1:14" x14ac:dyDescent="0.25">
      <c r="A3164" s="3" t="str">
        <f>HYPERLINK("http://www.ncbi.nlm.nih.gov/gene/5429","5429")</f>
        <v>5429</v>
      </c>
      <c r="B3164" s="1" t="s">
        <v>7449</v>
      </c>
      <c r="C3164" t="s">
        <v>7450</v>
      </c>
      <c r="D3164">
        <v>156.69999999999999</v>
      </c>
      <c r="E3164">
        <v>136.9</v>
      </c>
      <c r="F3164">
        <v>100</v>
      </c>
      <c r="G3164">
        <v>99.6</v>
      </c>
      <c r="H3164">
        <v>136.5</v>
      </c>
      <c r="I3164">
        <v>140.4</v>
      </c>
      <c r="J3164">
        <v>100</v>
      </c>
      <c r="K3164">
        <v>100</v>
      </c>
      <c r="L3164" s="1" t="s">
        <v>7449</v>
      </c>
      <c r="M3164" t="s">
        <v>7451</v>
      </c>
      <c r="N3164">
        <v>5</v>
      </c>
    </row>
    <row r="3165" spans="1:14" x14ac:dyDescent="0.25">
      <c r="A3165" s="3" t="str">
        <f>HYPERLINK("http://www.ncbi.nlm.nih.gov/gene/27343","27343")</f>
        <v>27343</v>
      </c>
      <c r="B3165" s="1" t="s">
        <v>7452</v>
      </c>
      <c r="C3165" t="s">
        <v>7453</v>
      </c>
      <c r="D3165">
        <v>119.3</v>
      </c>
      <c r="E3165">
        <v>123.5</v>
      </c>
      <c r="F3165">
        <v>100</v>
      </c>
      <c r="G3165">
        <v>99.2</v>
      </c>
      <c r="H3165">
        <v>140.19999999999999</v>
      </c>
      <c r="I3165">
        <v>144.4</v>
      </c>
      <c r="J3165">
        <v>100</v>
      </c>
      <c r="K3165">
        <v>100</v>
      </c>
      <c r="L3165" s="1" t="s">
        <v>7452</v>
      </c>
      <c r="M3165" t="s">
        <v>1253</v>
      </c>
      <c r="N3165">
        <v>2</v>
      </c>
    </row>
    <row r="3166" spans="1:14" x14ac:dyDescent="0.25">
      <c r="A3166" s="3" t="str">
        <f>HYPERLINK("http://www.ncbi.nlm.nih.gov/gene/25885","25885")</f>
        <v>25885</v>
      </c>
      <c r="B3166" s="1" t="s">
        <v>7454</v>
      </c>
      <c r="C3166" t="s">
        <v>7455</v>
      </c>
      <c r="D3166">
        <v>119.1</v>
      </c>
      <c r="E3166">
        <v>124</v>
      </c>
      <c r="F3166">
        <v>100</v>
      </c>
      <c r="G3166">
        <v>99.4</v>
      </c>
      <c r="H3166">
        <v>143.4</v>
      </c>
      <c r="I3166">
        <v>148.1</v>
      </c>
      <c r="J3166">
        <v>100</v>
      </c>
      <c r="K3166">
        <v>100</v>
      </c>
      <c r="L3166" s="1" t="s">
        <v>7454</v>
      </c>
      <c r="M3166" t="s">
        <v>2719</v>
      </c>
      <c r="N3166">
        <v>3</v>
      </c>
    </row>
    <row r="3167" spans="1:14" x14ac:dyDescent="0.25">
      <c r="A3167" s="3" t="str">
        <f>HYPERLINK("http://www.ncbi.nlm.nih.gov/gene/9533","9533")</f>
        <v>9533</v>
      </c>
      <c r="B3167" s="1" t="s">
        <v>7456</v>
      </c>
      <c r="C3167" t="s">
        <v>7457</v>
      </c>
      <c r="D3167">
        <v>102.1</v>
      </c>
      <c r="E3167">
        <v>102.8</v>
      </c>
      <c r="F3167">
        <v>90.5</v>
      </c>
      <c r="G3167">
        <v>87</v>
      </c>
      <c r="H3167">
        <v>113.9</v>
      </c>
      <c r="I3167">
        <v>116.5</v>
      </c>
      <c r="J3167">
        <v>82.8</v>
      </c>
      <c r="K3167">
        <v>82.8</v>
      </c>
      <c r="L3167" s="1" t="s">
        <v>7456</v>
      </c>
      <c r="M3167" t="s">
        <v>7458</v>
      </c>
      <c r="N3167">
        <v>9</v>
      </c>
    </row>
    <row r="3168" spans="1:14" x14ac:dyDescent="0.25">
      <c r="A3168" s="3" t="str">
        <f>HYPERLINK("http://www.ncbi.nlm.nih.gov/gene/51082","51082")</f>
        <v>51082</v>
      </c>
      <c r="B3168" s="1" t="s">
        <v>7459</v>
      </c>
      <c r="C3168" t="s">
        <v>7460</v>
      </c>
      <c r="D3168">
        <v>205.2</v>
      </c>
      <c r="E3168">
        <v>210.1</v>
      </c>
      <c r="F3168">
        <v>91.6</v>
      </c>
      <c r="G3168">
        <v>91.6</v>
      </c>
      <c r="H3168">
        <v>128.4</v>
      </c>
      <c r="I3168">
        <v>133.80000000000001</v>
      </c>
      <c r="J3168">
        <v>100</v>
      </c>
      <c r="K3168">
        <v>100</v>
      </c>
      <c r="L3168" s="1" t="s">
        <v>7459</v>
      </c>
      <c r="M3168" t="s">
        <v>7461</v>
      </c>
      <c r="N3168">
        <v>7</v>
      </c>
    </row>
    <row r="3169" spans="1:14" x14ac:dyDescent="0.25">
      <c r="A3169" s="3" t="str">
        <f>HYPERLINK("http://www.ncbi.nlm.nih.gov/gene/5430","5430")</f>
        <v>5430</v>
      </c>
      <c r="B3169" s="1" t="s">
        <v>7462</v>
      </c>
      <c r="C3169" t="s">
        <v>7463</v>
      </c>
      <c r="D3169">
        <v>173.8</v>
      </c>
      <c r="E3169">
        <v>182.8</v>
      </c>
      <c r="F3169">
        <v>100</v>
      </c>
      <c r="G3169">
        <v>100</v>
      </c>
      <c r="H3169">
        <v>119.2</v>
      </c>
      <c r="I3169">
        <v>123</v>
      </c>
      <c r="J3169">
        <v>100</v>
      </c>
      <c r="K3169">
        <v>100</v>
      </c>
      <c r="L3169" s="1" t="s">
        <v>7462</v>
      </c>
      <c r="M3169" t="s">
        <v>7464</v>
      </c>
      <c r="N3169">
        <v>3</v>
      </c>
    </row>
    <row r="3170" spans="1:14" x14ac:dyDescent="0.25">
      <c r="A3170" s="3" t="str">
        <f>HYPERLINK("http://www.ncbi.nlm.nih.gov/gene/11128","11128")</f>
        <v>11128</v>
      </c>
      <c r="B3170" s="1" t="s">
        <v>7465</v>
      </c>
      <c r="C3170" t="s">
        <v>7466</v>
      </c>
      <c r="D3170">
        <v>133.69999999999999</v>
      </c>
      <c r="E3170">
        <v>136.9</v>
      </c>
      <c r="F3170">
        <v>100</v>
      </c>
      <c r="G3170">
        <v>99.7</v>
      </c>
      <c r="H3170">
        <v>141.4</v>
      </c>
      <c r="I3170">
        <v>145.5</v>
      </c>
      <c r="J3170">
        <v>100</v>
      </c>
      <c r="K3170">
        <v>100</v>
      </c>
      <c r="L3170" s="1" t="s">
        <v>7465</v>
      </c>
      <c r="M3170" t="s">
        <v>7467</v>
      </c>
      <c r="N3170">
        <v>7</v>
      </c>
    </row>
    <row r="3171" spans="1:14" x14ac:dyDescent="0.25">
      <c r="A3171" s="3" t="str">
        <f>HYPERLINK("http://www.ncbi.nlm.nih.gov/gene/55703","55703")</f>
        <v>55703</v>
      </c>
      <c r="B3171" s="1" t="s">
        <v>7468</v>
      </c>
      <c r="C3171" t="s">
        <v>7469</v>
      </c>
      <c r="D3171">
        <v>151.1</v>
      </c>
      <c r="E3171">
        <v>157.1</v>
      </c>
      <c r="F3171">
        <v>99.9</v>
      </c>
      <c r="G3171">
        <v>98.6</v>
      </c>
      <c r="H3171">
        <v>129.5</v>
      </c>
      <c r="I3171">
        <v>133.19999999999999</v>
      </c>
      <c r="J3171">
        <v>100</v>
      </c>
      <c r="K3171">
        <v>100</v>
      </c>
      <c r="L3171" s="1" t="s">
        <v>7468</v>
      </c>
      <c r="M3171" t="s">
        <v>7470</v>
      </c>
      <c r="N3171">
        <v>8</v>
      </c>
    </row>
    <row r="3172" spans="1:14" x14ac:dyDescent="0.25">
      <c r="A3172" s="3" t="str">
        <f>HYPERLINK("http://www.ncbi.nlm.nih.gov/gene/5442","5442")</f>
        <v>5442</v>
      </c>
      <c r="B3172" s="1" t="s">
        <v>7471</v>
      </c>
      <c r="C3172" t="s">
        <v>7472</v>
      </c>
      <c r="D3172">
        <v>53.4</v>
      </c>
      <c r="E3172">
        <v>48.6</v>
      </c>
      <c r="F3172">
        <v>81.900000000000006</v>
      </c>
      <c r="G3172">
        <v>63.4</v>
      </c>
      <c r="H3172">
        <v>146</v>
      </c>
      <c r="I3172">
        <v>146.80000000000001</v>
      </c>
      <c r="J3172">
        <v>100</v>
      </c>
      <c r="K3172">
        <v>100</v>
      </c>
      <c r="L3172" s="1" t="s">
        <v>7471</v>
      </c>
      <c r="M3172" t="s">
        <v>7473</v>
      </c>
      <c r="N3172">
        <v>2</v>
      </c>
    </row>
    <row r="3173" spans="1:14" x14ac:dyDescent="0.25">
      <c r="A3173" s="3" t="str">
        <f>HYPERLINK("http://www.ncbi.nlm.nih.gov/gene/5443","5443")</f>
        <v>5443</v>
      </c>
      <c r="B3173" s="1" t="s">
        <v>7474</v>
      </c>
      <c r="C3173" t="s">
        <v>7475</v>
      </c>
      <c r="D3173">
        <v>113.5</v>
      </c>
      <c r="E3173">
        <v>114</v>
      </c>
      <c r="F3173">
        <v>100</v>
      </c>
      <c r="G3173">
        <v>100</v>
      </c>
      <c r="H3173">
        <v>143.19999999999999</v>
      </c>
      <c r="I3173">
        <v>140</v>
      </c>
      <c r="J3173">
        <v>100</v>
      </c>
      <c r="K3173">
        <v>100</v>
      </c>
      <c r="L3173" s="1" t="s">
        <v>7474</v>
      </c>
      <c r="M3173" t="s">
        <v>7476</v>
      </c>
      <c r="N3173">
        <v>5</v>
      </c>
    </row>
    <row r="3174" spans="1:14" x14ac:dyDescent="0.25">
      <c r="A3174" s="3" t="str">
        <f>HYPERLINK("http://www.ncbi.nlm.nih.gov/gene/55624","55624")</f>
        <v>55624</v>
      </c>
      <c r="B3174" s="1" t="s">
        <v>7477</v>
      </c>
      <c r="C3174" t="s">
        <v>7478</v>
      </c>
      <c r="D3174">
        <v>128.9</v>
      </c>
      <c r="E3174">
        <v>131.5</v>
      </c>
      <c r="F3174">
        <v>100</v>
      </c>
      <c r="G3174">
        <v>99.9</v>
      </c>
      <c r="H3174">
        <v>123.9</v>
      </c>
      <c r="I3174">
        <v>126.4</v>
      </c>
      <c r="J3174">
        <v>100</v>
      </c>
      <c r="K3174">
        <v>100</v>
      </c>
      <c r="L3174" s="1" t="s">
        <v>7477</v>
      </c>
      <c r="M3174" t="s">
        <v>7479</v>
      </c>
      <c r="N3174">
        <v>6</v>
      </c>
    </row>
    <row r="3175" spans="1:14" x14ac:dyDescent="0.25">
      <c r="A3175" s="3" t="str">
        <f>HYPERLINK("http://www.ncbi.nlm.nih.gov/gene/84892","84892")</f>
        <v>84892</v>
      </c>
      <c r="B3175" s="1" t="s">
        <v>7480</v>
      </c>
      <c r="C3175" t="s">
        <v>7481</v>
      </c>
      <c r="D3175">
        <v>178.1</v>
      </c>
      <c r="E3175">
        <v>186</v>
      </c>
      <c r="F3175">
        <v>100</v>
      </c>
      <c r="G3175">
        <v>100</v>
      </c>
      <c r="H3175">
        <v>157</v>
      </c>
      <c r="I3175">
        <v>156.4</v>
      </c>
      <c r="J3175">
        <v>100</v>
      </c>
      <c r="K3175">
        <v>100</v>
      </c>
      <c r="L3175" s="1" t="s">
        <v>7480</v>
      </c>
      <c r="M3175" t="s">
        <v>1019</v>
      </c>
      <c r="N3175">
        <v>5</v>
      </c>
    </row>
    <row r="3176" spans="1:14" x14ac:dyDescent="0.25">
      <c r="A3176" s="3" t="str">
        <f>HYPERLINK("http://www.ncbi.nlm.nih.gov/gene/84197","84197")</f>
        <v>84197</v>
      </c>
      <c r="B3176" s="1" t="s">
        <v>7482</v>
      </c>
      <c r="C3176" t="s">
        <v>7483</v>
      </c>
      <c r="D3176">
        <v>172</v>
      </c>
      <c r="E3176">
        <v>180.7</v>
      </c>
      <c r="F3176">
        <v>100</v>
      </c>
      <c r="G3176">
        <v>100</v>
      </c>
      <c r="H3176">
        <v>150.1</v>
      </c>
      <c r="I3176">
        <v>152.6</v>
      </c>
      <c r="J3176">
        <v>100</v>
      </c>
      <c r="K3176">
        <v>100</v>
      </c>
      <c r="L3176" s="1" t="s">
        <v>7482</v>
      </c>
      <c r="M3176" t="s">
        <v>1019</v>
      </c>
      <c r="N3176">
        <v>5</v>
      </c>
    </row>
    <row r="3177" spans="1:14" x14ac:dyDescent="0.25">
      <c r="A3177" s="3" t="str">
        <f>HYPERLINK("http://www.ncbi.nlm.nih.gov/gene/51371","51371")</f>
        <v>51371</v>
      </c>
      <c r="B3177" s="1" t="s">
        <v>7484</v>
      </c>
      <c r="C3177" t="s">
        <v>7485</v>
      </c>
      <c r="D3177">
        <v>157.1</v>
      </c>
      <c r="E3177">
        <v>160.30000000000001</v>
      </c>
      <c r="F3177">
        <v>100</v>
      </c>
      <c r="G3177">
        <v>99.1</v>
      </c>
      <c r="H3177">
        <v>109.9</v>
      </c>
      <c r="I3177">
        <v>112.1</v>
      </c>
      <c r="J3177">
        <v>100</v>
      </c>
      <c r="K3177">
        <v>100</v>
      </c>
      <c r="L3177" s="1" t="s">
        <v>7484</v>
      </c>
      <c r="M3177" t="s">
        <v>7486</v>
      </c>
      <c r="N3177">
        <v>4</v>
      </c>
    </row>
    <row r="3178" spans="1:14" x14ac:dyDescent="0.25">
      <c r="A3178" s="3" t="str">
        <f>HYPERLINK("http://www.ncbi.nlm.nih.gov/gene/10585","10585")</f>
        <v>10585</v>
      </c>
      <c r="B3178" s="1" t="s">
        <v>7487</v>
      </c>
      <c r="C3178" t="s">
        <v>7488</v>
      </c>
      <c r="D3178">
        <v>146.6</v>
      </c>
      <c r="E3178">
        <v>150.5</v>
      </c>
      <c r="F3178">
        <v>99.3</v>
      </c>
      <c r="G3178">
        <v>97.5</v>
      </c>
      <c r="H3178">
        <v>140.69999999999999</v>
      </c>
      <c r="I3178">
        <v>144.5</v>
      </c>
      <c r="J3178">
        <v>100</v>
      </c>
      <c r="K3178">
        <v>100</v>
      </c>
      <c r="L3178" s="1" t="s">
        <v>7487</v>
      </c>
      <c r="M3178" t="s">
        <v>7489</v>
      </c>
      <c r="N3178">
        <v>7</v>
      </c>
    </row>
    <row r="3179" spans="1:14" x14ac:dyDescent="0.25">
      <c r="A3179" s="3" t="str">
        <f>HYPERLINK("http://www.ncbi.nlm.nih.gov/gene/29954","29954")</f>
        <v>29954</v>
      </c>
      <c r="B3179" s="1" t="s">
        <v>7490</v>
      </c>
      <c r="C3179" t="s">
        <v>7491</v>
      </c>
      <c r="D3179">
        <v>108.3</v>
      </c>
      <c r="E3179">
        <v>110.7</v>
      </c>
      <c r="F3179">
        <v>99.4</v>
      </c>
      <c r="G3179">
        <v>96.4</v>
      </c>
      <c r="H3179">
        <v>123.7</v>
      </c>
      <c r="I3179">
        <v>126.4</v>
      </c>
      <c r="J3179">
        <v>100</v>
      </c>
      <c r="K3179">
        <v>100</v>
      </c>
      <c r="L3179" s="1" t="s">
        <v>7490</v>
      </c>
      <c r="M3179" t="s">
        <v>3584</v>
      </c>
      <c r="N3179">
        <v>6</v>
      </c>
    </row>
    <row r="3180" spans="1:14" x14ac:dyDescent="0.25">
      <c r="A3180" s="3" t="str">
        <f>HYPERLINK("http://www.ncbi.nlm.nih.gov/gene/10940","10940")</f>
        <v>10940</v>
      </c>
      <c r="B3180" s="1" t="s">
        <v>7492</v>
      </c>
      <c r="C3180" t="s">
        <v>7493</v>
      </c>
      <c r="D3180">
        <v>129.80000000000001</v>
      </c>
      <c r="E3180">
        <v>134.19999999999999</v>
      </c>
      <c r="F3180">
        <v>100</v>
      </c>
      <c r="G3180">
        <v>99.7</v>
      </c>
      <c r="H3180">
        <v>132.6</v>
      </c>
      <c r="I3180">
        <v>136.6</v>
      </c>
      <c r="J3180">
        <v>100</v>
      </c>
      <c r="K3180">
        <v>100</v>
      </c>
      <c r="L3180" s="1" t="s">
        <v>7492</v>
      </c>
      <c r="M3180" t="s">
        <v>1168</v>
      </c>
      <c r="N3180">
        <v>3</v>
      </c>
    </row>
    <row r="3181" spans="1:14" x14ac:dyDescent="0.25">
      <c r="A3181" s="3" t="str">
        <f>HYPERLINK("http://www.ncbi.nlm.nih.gov/gene/5447","5447")</f>
        <v>5447</v>
      </c>
      <c r="B3181" s="1" t="s">
        <v>7494</v>
      </c>
      <c r="C3181" t="s">
        <v>7495</v>
      </c>
      <c r="D3181">
        <v>170.8</v>
      </c>
      <c r="E3181">
        <v>175</v>
      </c>
      <c r="F3181">
        <v>99.8</v>
      </c>
      <c r="G3181">
        <v>98.6</v>
      </c>
      <c r="H3181">
        <v>150.1</v>
      </c>
      <c r="I3181">
        <v>153.69999999999999</v>
      </c>
      <c r="J3181">
        <v>100</v>
      </c>
      <c r="K3181">
        <v>100</v>
      </c>
      <c r="L3181" s="1" t="s">
        <v>7494</v>
      </c>
      <c r="M3181" t="s">
        <v>7496</v>
      </c>
      <c r="N3181">
        <v>5</v>
      </c>
    </row>
    <row r="3182" spans="1:14" x14ac:dyDescent="0.25">
      <c r="A3182" s="3" t="str">
        <f>HYPERLINK("http://www.ncbi.nlm.nih.gov/gene/64840","64840")</f>
        <v>64840</v>
      </c>
      <c r="B3182" s="1" t="s">
        <v>7497</v>
      </c>
      <c r="C3182" t="s">
        <v>7498</v>
      </c>
      <c r="D3182">
        <v>116.9</v>
      </c>
      <c r="E3182">
        <v>121</v>
      </c>
      <c r="F3182">
        <v>100</v>
      </c>
      <c r="G3182">
        <v>99.1</v>
      </c>
      <c r="H3182">
        <v>135.30000000000001</v>
      </c>
      <c r="I3182">
        <v>138.6</v>
      </c>
      <c r="J3182">
        <v>100</v>
      </c>
      <c r="K3182">
        <v>100</v>
      </c>
      <c r="L3182" s="1" t="s">
        <v>7497</v>
      </c>
      <c r="M3182" t="s">
        <v>7499</v>
      </c>
      <c r="N3182">
        <v>5</v>
      </c>
    </row>
    <row r="3183" spans="1:14" x14ac:dyDescent="0.25">
      <c r="A3183" s="3" t="str">
        <f>HYPERLINK("http://www.ncbi.nlm.nih.gov/gene/25913","25913")</f>
        <v>25913</v>
      </c>
      <c r="B3183" s="1" t="s">
        <v>7500</v>
      </c>
      <c r="C3183" t="s">
        <v>7501</v>
      </c>
      <c r="D3183">
        <v>115</v>
      </c>
      <c r="E3183">
        <v>120.7</v>
      </c>
      <c r="F3183">
        <v>99.9</v>
      </c>
      <c r="G3183">
        <v>99</v>
      </c>
      <c r="H3183">
        <v>126.4</v>
      </c>
      <c r="I3183">
        <v>130.19999999999999</v>
      </c>
      <c r="J3183">
        <v>100</v>
      </c>
      <c r="K3183">
        <v>100</v>
      </c>
      <c r="L3183" s="1" t="s">
        <v>7500</v>
      </c>
      <c r="M3183" t="s">
        <v>7502</v>
      </c>
      <c r="N3183">
        <v>7</v>
      </c>
    </row>
    <row r="3184" spans="1:14" x14ac:dyDescent="0.25">
      <c r="A3184" s="3" t="str">
        <f>HYPERLINK("http://www.ncbi.nlm.nih.gov/gene/5449","5449")</f>
        <v>5449</v>
      </c>
      <c r="B3184" s="1" t="s">
        <v>7503</v>
      </c>
      <c r="C3184" t="s">
        <v>7504</v>
      </c>
      <c r="D3184">
        <v>130.30000000000001</v>
      </c>
      <c r="E3184">
        <v>137.5</v>
      </c>
      <c r="F3184">
        <v>100</v>
      </c>
      <c r="G3184">
        <v>99.2</v>
      </c>
      <c r="H3184">
        <v>135.30000000000001</v>
      </c>
      <c r="I3184">
        <v>140.4</v>
      </c>
      <c r="J3184">
        <v>100</v>
      </c>
      <c r="K3184">
        <v>100</v>
      </c>
      <c r="L3184" s="1" t="s">
        <v>7503</v>
      </c>
      <c r="M3184" t="s">
        <v>4659</v>
      </c>
      <c r="N3184">
        <v>4</v>
      </c>
    </row>
    <row r="3185" spans="1:14" x14ac:dyDescent="0.25">
      <c r="A3185" s="3" t="str">
        <f>HYPERLINK("http://www.ncbi.nlm.nih.gov/gene/5450","5450")</f>
        <v>5450</v>
      </c>
      <c r="B3185" s="1" t="s">
        <v>7505</v>
      </c>
      <c r="C3185" t="s">
        <v>7506</v>
      </c>
      <c r="D3185">
        <v>111.5</v>
      </c>
      <c r="E3185">
        <v>115</v>
      </c>
      <c r="F3185">
        <v>100</v>
      </c>
      <c r="G3185">
        <v>99.3</v>
      </c>
      <c r="H3185">
        <v>140.69999999999999</v>
      </c>
      <c r="I3185">
        <v>144.4</v>
      </c>
      <c r="J3185">
        <v>100</v>
      </c>
      <c r="K3185">
        <v>100</v>
      </c>
      <c r="L3185" s="1" t="s">
        <v>7505</v>
      </c>
      <c r="M3185" t="s">
        <v>7507</v>
      </c>
      <c r="N3185">
        <v>3</v>
      </c>
    </row>
    <row r="3186" spans="1:14" x14ac:dyDescent="0.25">
      <c r="A3186" s="3" t="str">
        <f>HYPERLINK("http://www.ncbi.nlm.nih.gov/gene/5455","5455")</f>
        <v>5455</v>
      </c>
      <c r="B3186" s="1" t="s">
        <v>7508</v>
      </c>
      <c r="C3186" t="s">
        <v>7509</v>
      </c>
      <c r="D3186">
        <v>72.099999999999994</v>
      </c>
      <c r="E3186">
        <v>32.200000000000003</v>
      </c>
      <c r="F3186">
        <v>73.2</v>
      </c>
      <c r="G3186">
        <v>59.6</v>
      </c>
      <c r="H3186">
        <v>121.6</v>
      </c>
      <c r="I3186">
        <v>102.4</v>
      </c>
      <c r="J3186">
        <v>94.9</v>
      </c>
      <c r="K3186">
        <v>83.8</v>
      </c>
      <c r="L3186" s="1" t="s">
        <v>7508</v>
      </c>
      <c r="M3186" t="s">
        <v>189</v>
      </c>
      <c r="N3186">
        <v>2</v>
      </c>
    </row>
    <row r="3187" spans="1:14" x14ac:dyDescent="0.25">
      <c r="A3187" s="3" t="str">
        <f>HYPERLINK("http://www.ncbi.nlm.nih.gov/gene/5456","5456")</f>
        <v>5456</v>
      </c>
      <c r="B3187" s="1" t="s">
        <v>7510</v>
      </c>
      <c r="C3187" t="s">
        <v>7511</v>
      </c>
      <c r="D3187">
        <v>143.9</v>
      </c>
      <c r="E3187">
        <v>134.5</v>
      </c>
      <c r="F3187">
        <v>100</v>
      </c>
      <c r="G3187">
        <v>100</v>
      </c>
      <c r="H3187">
        <v>125.9</v>
      </c>
      <c r="I3187">
        <v>126.3</v>
      </c>
      <c r="J3187">
        <v>100</v>
      </c>
      <c r="K3187">
        <v>100</v>
      </c>
      <c r="L3187" s="1" t="s">
        <v>7510</v>
      </c>
      <c r="M3187" t="s">
        <v>7512</v>
      </c>
      <c r="N3187">
        <v>2</v>
      </c>
    </row>
    <row r="3188" spans="1:14" x14ac:dyDescent="0.25">
      <c r="A3188" s="3" t="str">
        <f>HYPERLINK("http://www.ncbi.nlm.nih.gov/gene/5459","5459")</f>
        <v>5459</v>
      </c>
      <c r="B3188" s="1" t="s">
        <v>7513</v>
      </c>
      <c r="C3188" t="s">
        <v>7514</v>
      </c>
      <c r="D3188">
        <v>248</v>
      </c>
      <c r="E3188">
        <v>242.5</v>
      </c>
      <c r="F3188">
        <v>100</v>
      </c>
      <c r="G3188">
        <v>100</v>
      </c>
      <c r="H3188">
        <v>189.6</v>
      </c>
      <c r="I3188">
        <v>192.2</v>
      </c>
      <c r="J3188">
        <v>100</v>
      </c>
      <c r="K3188">
        <v>100</v>
      </c>
      <c r="L3188" s="1" t="s">
        <v>7513</v>
      </c>
      <c r="M3188" t="s">
        <v>76</v>
      </c>
      <c r="N3188">
        <v>2</v>
      </c>
    </row>
    <row r="3189" spans="1:14" x14ac:dyDescent="0.25">
      <c r="A3189" s="3" t="str">
        <f>HYPERLINK("http://www.ncbi.nlm.nih.gov/gene/11281","11281")</f>
        <v>11281</v>
      </c>
      <c r="B3189" s="1" t="s">
        <v>7515</v>
      </c>
      <c r="C3189" t="s">
        <v>7516</v>
      </c>
      <c r="D3189">
        <v>145.5</v>
      </c>
      <c r="E3189">
        <v>147.80000000000001</v>
      </c>
      <c r="F3189">
        <v>95.2</v>
      </c>
      <c r="G3189">
        <v>95.2</v>
      </c>
      <c r="H3189">
        <v>162.6</v>
      </c>
      <c r="I3189">
        <v>166.5</v>
      </c>
      <c r="J3189">
        <v>100</v>
      </c>
      <c r="K3189">
        <v>100</v>
      </c>
      <c r="L3189" s="1" t="s">
        <v>7515</v>
      </c>
      <c r="M3189" t="s">
        <v>19</v>
      </c>
      <c r="N3189">
        <v>2</v>
      </c>
    </row>
    <row r="3190" spans="1:14" x14ac:dyDescent="0.25">
      <c r="A3190" s="3" t="str">
        <f>HYPERLINK("http://www.ncbi.nlm.nih.gov/gene/27068","27068")</f>
        <v>27068</v>
      </c>
      <c r="B3190" s="1" t="s">
        <v>7517</v>
      </c>
      <c r="C3190" t="s">
        <v>7518</v>
      </c>
      <c r="D3190">
        <v>95.6</v>
      </c>
      <c r="E3190">
        <v>94.4</v>
      </c>
      <c r="F3190">
        <v>98.7</v>
      </c>
      <c r="G3190">
        <v>94</v>
      </c>
      <c r="H3190">
        <v>118.4</v>
      </c>
      <c r="I3190">
        <v>120.9</v>
      </c>
      <c r="J3190">
        <v>100</v>
      </c>
      <c r="K3190">
        <v>100</v>
      </c>
      <c r="L3190" s="1" t="s">
        <v>7517</v>
      </c>
      <c r="M3190" t="s">
        <v>971</v>
      </c>
      <c r="N3190">
        <v>4</v>
      </c>
    </row>
    <row r="3191" spans="1:14" x14ac:dyDescent="0.25">
      <c r="A3191" s="3" t="str">
        <f>HYPERLINK("http://www.ncbi.nlm.nih.gov/gene/5468","5468")</f>
        <v>5468</v>
      </c>
      <c r="B3191" s="1" t="s">
        <v>7519</v>
      </c>
      <c r="C3191" t="s">
        <v>7520</v>
      </c>
      <c r="D3191">
        <v>171</v>
      </c>
      <c r="E3191">
        <v>177.7</v>
      </c>
      <c r="F3191">
        <v>100</v>
      </c>
      <c r="G3191">
        <v>100</v>
      </c>
      <c r="H3191">
        <v>134.19999999999999</v>
      </c>
      <c r="I3191">
        <v>137.69999999999999</v>
      </c>
      <c r="J3191">
        <v>98.3</v>
      </c>
      <c r="K3191">
        <v>98.3</v>
      </c>
      <c r="L3191" s="1" t="s">
        <v>7519</v>
      </c>
      <c r="M3191" t="s">
        <v>22</v>
      </c>
      <c r="N3191">
        <v>1</v>
      </c>
    </row>
    <row r="3192" spans="1:14" x14ac:dyDescent="0.25">
      <c r="A3192" s="3" t="str">
        <f>HYPERLINK("http://www.ncbi.nlm.nih.gov/gene/10891","10891")</f>
        <v>10891</v>
      </c>
      <c r="B3192" s="1" t="s">
        <v>7521</v>
      </c>
      <c r="C3192" t="s">
        <v>7522</v>
      </c>
      <c r="D3192">
        <v>148.9</v>
      </c>
      <c r="E3192">
        <v>150.4</v>
      </c>
      <c r="F3192">
        <v>100</v>
      </c>
      <c r="G3192">
        <v>99.9</v>
      </c>
      <c r="H3192">
        <v>148.5</v>
      </c>
      <c r="I3192">
        <v>150.80000000000001</v>
      </c>
      <c r="J3192">
        <v>100</v>
      </c>
      <c r="K3192">
        <v>100</v>
      </c>
      <c r="L3192" s="1" t="s">
        <v>7521</v>
      </c>
      <c r="M3192" t="s">
        <v>661</v>
      </c>
      <c r="N3192">
        <v>2</v>
      </c>
    </row>
    <row r="3193" spans="1:14" x14ac:dyDescent="0.25">
      <c r="A3193" s="3" t="str">
        <f>HYPERLINK("http://www.ncbi.nlm.nih.gov/gene/79717","79717")</f>
        <v>79717</v>
      </c>
      <c r="B3193" s="1" t="s">
        <v>7523</v>
      </c>
      <c r="C3193" t="s">
        <v>7524</v>
      </c>
      <c r="D3193">
        <v>125.8</v>
      </c>
      <c r="E3193">
        <v>139.9</v>
      </c>
      <c r="F3193">
        <v>99.8</v>
      </c>
      <c r="G3193">
        <v>99.5</v>
      </c>
      <c r="H3193">
        <v>167.9</v>
      </c>
      <c r="I3193">
        <v>170.5</v>
      </c>
      <c r="J3193">
        <v>100</v>
      </c>
      <c r="K3193">
        <v>100</v>
      </c>
      <c r="L3193" s="1" t="s">
        <v>7523</v>
      </c>
      <c r="M3193" t="s">
        <v>7525</v>
      </c>
      <c r="N3193">
        <v>5</v>
      </c>
    </row>
    <row r="3194" spans="1:14" x14ac:dyDescent="0.25">
      <c r="A3194" s="3" t="str">
        <f>HYPERLINK("http://www.ncbi.nlm.nih.gov/gene/5479","5479")</f>
        <v>5479</v>
      </c>
      <c r="B3194" s="1" t="s">
        <v>7526</v>
      </c>
      <c r="C3194" t="s">
        <v>7527</v>
      </c>
      <c r="D3194">
        <v>110.6</v>
      </c>
      <c r="E3194">
        <v>116</v>
      </c>
      <c r="F3194">
        <v>100</v>
      </c>
      <c r="G3194">
        <v>100</v>
      </c>
      <c r="H3194">
        <v>145.30000000000001</v>
      </c>
      <c r="I3194">
        <v>149.9</v>
      </c>
      <c r="J3194">
        <v>100</v>
      </c>
      <c r="K3194">
        <v>100</v>
      </c>
      <c r="L3194" s="1" t="s">
        <v>7526</v>
      </c>
      <c r="M3194" t="s">
        <v>1168</v>
      </c>
      <c r="N3194">
        <v>3</v>
      </c>
    </row>
    <row r="3195" spans="1:14" x14ac:dyDescent="0.25">
      <c r="A3195" s="3" t="str">
        <f>HYPERLINK("http://www.ncbi.nlm.nih.gov/gene/23262","23262")</f>
        <v>23262</v>
      </c>
      <c r="B3195" s="1" t="s">
        <v>7528</v>
      </c>
      <c r="C3195" t="s">
        <v>7529</v>
      </c>
      <c r="D3195">
        <v>104</v>
      </c>
      <c r="E3195">
        <v>106.6</v>
      </c>
      <c r="F3195">
        <v>98.9</v>
      </c>
      <c r="G3195">
        <v>95.2</v>
      </c>
      <c r="H3195">
        <v>119.1</v>
      </c>
      <c r="I3195">
        <v>122.3</v>
      </c>
      <c r="J3195">
        <v>100</v>
      </c>
      <c r="K3195">
        <v>100</v>
      </c>
      <c r="L3195" s="1" t="s">
        <v>7528</v>
      </c>
      <c r="M3195" t="s">
        <v>269</v>
      </c>
      <c r="N3195">
        <v>3</v>
      </c>
    </row>
    <row r="3196" spans="1:14" x14ac:dyDescent="0.25">
      <c r="A3196" s="3" t="str">
        <f>HYPERLINK("http://www.ncbi.nlm.nih.gov/gene/8493","8493")</f>
        <v>8493</v>
      </c>
      <c r="B3196" s="1" t="s">
        <v>7530</v>
      </c>
      <c r="C3196" t="s">
        <v>7531</v>
      </c>
      <c r="D3196">
        <v>176.5</v>
      </c>
      <c r="E3196">
        <v>177.8</v>
      </c>
      <c r="F3196">
        <v>100</v>
      </c>
      <c r="G3196">
        <v>99.9</v>
      </c>
      <c r="H3196">
        <v>134.6</v>
      </c>
      <c r="I3196">
        <v>137.9</v>
      </c>
      <c r="J3196">
        <v>100</v>
      </c>
      <c r="K3196">
        <v>100</v>
      </c>
      <c r="L3196" s="1" t="s">
        <v>7530</v>
      </c>
      <c r="M3196" t="s">
        <v>7532</v>
      </c>
      <c r="N3196">
        <v>4</v>
      </c>
    </row>
    <row r="3197" spans="1:14" x14ac:dyDescent="0.25">
      <c r="A3197" s="3" t="str">
        <f>HYPERLINK("http://www.ncbi.nlm.nih.gov/gene/152926","152926")</f>
        <v>152926</v>
      </c>
      <c r="B3197" s="1" t="s">
        <v>7533</v>
      </c>
      <c r="C3197" t="s">
        <v>7534</v>
      </c>
      <c r="D3197">
        <v>156.30000000000001</v>
      </c>
      <c r="E3197">
        <v>159.6</v>
      </c>
      <c r="F3197">
        <v>100</v>
      </c>
      <c r="G3197">
        <v>100</v>
      </c>
      <c r="H3197">
        <v>146.19999999999999</v>
      </c>
      <c r="I3197">
        <v>150.30000000000001</v>
      </c>
      <c r="J3197">
        <v>100</v>
      </c>
      <c r="K3197">
        <v>100</v>
      </c>
      <c r="L3197" s="1" t="s">
        <v>7533</v>
      </c>
      <c r="M3197" t="s">
        <v>1445</v>
      </c>
      <c r="N3197">
        <v>3</v>
      </c>
    </row>
    <row r="3198" spans="1:14" x14ac:dyDescent="0.25">
      <c r="A3198" s="3" t="str">
        <f>HYPERLINK("http://www.ncbi.nlm.nih.gov/gene/5498","5498")</f>
        <v>5498</v>
      </c>
      <c r="B3198" s="1" t="s">
        <v>7535</v>
      </c>
      <c r="C3198" t="s">
        <v>7536</v>
      </c>
      <c r="D3198">
        <v>107.4</v>
      </c>
      <c r="E3198">
        <v>109.9</v>
      </c>
      <c r="F3198">
        <v>99.7</v>
      </c>
      <c r="G3198">
        <v>96.8</v>
      </c>
      <c r="H3198">
        <v>139.5</v>
      </c>
      <c r="I3198">
        <v>143.5</v>
      </c>
      <c r="J3198">
        <v>100</v>
      </c>
      <c r="K3198">
        <v>100</v>
      </c>
      <c r="L3198" s="1" t="s">
        <v>7535</v>
      </c>
      <c r="M3198" t="s">
        <v>7537</v>
      </c>
      <c r="N3198">
        <v>3</v>
      </c>
    </row>
    <row r="3199" spans="1:14" x14ac:dyDescent="0.25">
      <c r="A3199" s="3" t="str">
        <f>HYPERLINK("http://www.ncbi.nlm.nih.gov/gene/5500","5500")</f>
        <v>5500</v>
      </c>
      <c r="B3199" s="1" t="s">
        <v>7538</v>
      </c>
      <c r="C3199" t="s">
        <v>7539</v>
      </c>
      <c r="D3199">
        <v>123.8</v>
      </c>
      <c r="E3199">
        <v>127.9</v>
      </c>
      <c r="F3199">
        <v>99.9</v>
      </c>
      <c r="G3199">
        <v>99.3</v>
      </c>
      <c r="H3199">
        <v>128</v>
      </c>
      <c r="I3199">
        <v>131.19999999999999</v>
      </c>
      <c r="J3199">
        <v>100</v>
      </c>
      <c r="K3199">
        <v>100</v>
      </c>
      <c r="L3199" s="1" t="s">
        <v>7538</v>
      </c>
      <c r="M3199" t="s">
        <v>7540</v>
      </c>
      <c r="N3199">
        <v>4</v>
      </c>
    </row>
    <row r="3200" spans="1:14" x14ac:dyDescent="0.25">
      <c r="A3200" s="3" t="str">
        <f>HYPERLINK("http://www.ncbi.nlm.nih.gov/gene/4659","4659")</f>
        <v>4659</v>
      </c>
      <c r="B3200" s="1" t="s">
        <v>7541</v>
      </c>
      <c r="C3200" t="s">
        <v>7542</v>
      </c>
      <c r="D3200">
        <v>135.80000000000001</v>
      </c>
      <c r="E3200">
        <v>140.6</v>
      </c>
      <c r="F3200">
        <v>97.7</v>
      </c>
      <c r="G3200">
        <v>95.3</v>
      </c>
      <c r="H3200">
        <v>134.5</v>
      </c>
      <c r="I3200">
        <v>138.19999999999999</v>
      </c>
      <c r="J3200">
        <v>100</v>
      </c>
      <c r="K3200">
        <v>100</v>
      </c>
      <c r="L3200" s="1" t="s">
        <v>7541</v>
      </c>
      <c r="M3200" t="s">
        <v>189</v>
      </c>
      <c r="N3200">
        <v>2</v>
      </c>
    </row>
    <row r="3201" spans="1:14" x14ac:dyDescent="0.25">
      <c r="A3201" s="3" t="str">
        <f>HYPERLINK("http://www.ncbi.nlm.nih.gov/gene/105369865","105369865")</f>
        <v>105369865</v>
      </c>
      <c r="B3201" s="1" t="s">
        <v>7543</v>
      </c>
      <c r="C3201" t="s">
        <v>7544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 s="1" t="s">
        <v>7543</v>
      </c>
      <c r="M3201" t="s">
        <v>840</v>
      </c>
      <c r="N3201">
        <v>2</v>
      </c>
    </row>
    <row r="3202" spans="1:14" x14ac:dyDescent="0.25">
      <c r="A3202" s="3" t="str">
        <f>HYPERLINK("http://www.ncbi.nlm.nih.gov/gene/84919","84919")</f>
        <v>84919</v>
      </c>
      <c r="B3202" s="1" t="s">
        <v>7545</v>
      </c>
      <c r="C3202" t="s">
        <v>7546</v>
      </c>
      <c r="D3202">
        <v>148.9</v>
      </c>
      <c r="E3202">
        <v>135.5</v>
      </c>
      <c r="F3202">
        <v>100</v>
      </c>
      <c r="G3202">
        <v>99.6</v>
      </c>
      <c r="H3202">
        <v>157.69999999999999</v>
      </c>
      <c r="I3202">
        <v>160.19999999999999</v>
      </c>
      <c r="J3202">
        <v>100</v>
      </c>
      <c r="K3202">
        <v>100</v>
      </c>
      <c r="L3202" s="1" t="s">
        <v>7545</v>
      </c>
      <c r="M3202" t="s">
        <v>228</v>
      </c>
      <c r="N3202">
        <v>3</v>
      </c>
    </row>
    <row r="3203" spans="1:14" x14ac:dyDescent="0.25">
      <c r="A3203" s="3" t="str">
        <f>HYPERLINK("http://www.ncbi.nlm.nih.gov/gene/129285","129285")</f>
        <v>129285</v>
      </c>
      <c r="B3203" s="1" t="s">
        <v>7547</v>
      </c>
      <c r="C3203" t="s">
        <v>7548</v>
      </c>
      <c r="D3203">
        <v>141.6</v>
      </c>
      <c r="E3203">
        <v>146.1</v>
      </c>
      <c r="F3203">
        <v>99.6</v>
      </c>
      <c r="G3203">
        <v>96</v>
      </c>
      <c r="H3203">
        <v>118.8</v>
      </c>
      <c r="I3203">
        <v>121.4</v>
      </c>
      <c r="J3203">
        <v>100</v>
      </c>
      <c r="K3203">
        <v>100</v>
      </c>
      <c r="L3203" s="1" t="s">
        <v>7547</v>
      </c>
      <c r="M3203" t="s">
        <v>50</v>
      </c>
      <c r="N3203">
        <v>2</v>
      </c>
    </row>
    <row r="3204" spans="1:14" x14ac:dyDescent="0.25">
      <c r="A3204" s="3" t="str">
        <f>HYPERLINK("http://www.ncbi.nlm.nih.gov/gene/5506","5506")</f>
        <v>5506</v>
      </c>
      <c r="B3204" s="1" t="s">
        <v>7549</v>
      </c>
      <c r="C3204" t="s">
        <v>7550</v>
      </c>
      <c r="D3204">
        <v>190.7</v>
      </c>
      <c r="E3204">
        <v>173.7</v>
      </c>
      <c r="F3204">
        <v>99.7</v>
      </c>
      <c r="G3204">
        <v>99.2</v>
      </c>
      <c r="H3204">
        <v>144</v>
      </c>
      <c r="I3204">
        <v>143.6</v>
      </c>
      <c r="J3204">
        <v>100</v>
      </c>
      <c r="K3204">
        <v>100</v>
      </c>
      <c r="L3204" s="1" t="s">
        <v>7549</v>
      </c>
      <c r="M3204" t="s">
        <v>285</v>
      </c>
      <c r="N3204">
        <v>1</v>
      </c>
    </row>
    <row r="3205" spans="1:14" x14ac:dyDescent="0.25">
      <c r="A3205" s="3" t="str">
        <f>HYPERLINK("http://www.ncbi.nlm.nih.gov/gene/5515","5515")</f>
        <v>5515</v>
      </c>
      <c r="B3205" s="1" t="s">
        <v>7551</v>
      </c>
      <c r="C3205" t="s">
        <v>7552</v>
      </c>
      <c r="D3205">
        <v>180.3</v>
      </c>
      <c r="E3205">
        <v>186.4</v>
      </c>
      <c r="F3205">
        <v>100</v>
      </c>
      <c r="G3205">
        <v>100</v>
      </c>
      <c r="H3205">
        <v>140</v>
      </c>
      <c r="I3205">
        <v>144.5</v>
      </c>
      <c r="J3205">
        <v>100</v>
      </c>
      <c r="K3205">
        <v>100</v>
      </c>
      <c r="L3205" s="1" t="s">
        <v>7551</v>
      </c>
      <c r="M3205" t="s">
        <v>189</v>
      </c>
      <c r="N3205">
        <v>2</v>
      </c>
    </row>
    <row r="3206" spans="1:14" x14ac:dyDescent="0.25">
      <c r="A3206" s="3" t="str">
        <f>HYPERLINK("http://www.ncbi.nlm.nih.gov/gene/5518","5518")</f>
        <v>5518</v>
      </c>
      <c r="B3206" s="1" t="s">
        <v>7553</v>
      </c>
      <c r="C3206" t="s">
        <v>7554</v>
      </c>
      <c r="D3206">
        <v>133.9</v>
      </c>
      <c r="E3206">
        <v>136.5</v>
      </c>
      <c r="F3206">
        <v>91.6</v>
      </c>
      <c r="G3206">
        <v>91.5</v>
      </c>
      <c r="H3206">
        <v>140.19999999999999</v>
      </c>
      <c r="I3206">
        <v>144.19999999999999</v>
      </c>
      <c r="J3206">
        <v>93.6</v>
      </c>
      <c r="K3206">
        <v>93.6</v>
      </c>
      <c r="L3206" s="1" t="s">
        <v>7553</v>
      </c>
      <c r="M3206" t="s">
        <v>995</v>
      </c>
      <c r="N3206">
        <v>3</v>
      </c>
    </row>
    <row r="3207" spans="1:14" x14ac:dyDescent="0.25">
      <c r="A3207" s="3" t="str">
        <f>HYPERLINK("http://www.ncbi.nlm.nih.gov/gene/5519","5519")</f>
        <v>5519</v>
      </c>
      <c r="B3207" s="1" t="s">
        <v>7555</v>
      </c>
      <c r="C3207" t="s">
        <v>7556</v>
      </c>
      <c r="D3207">
        <v>162.1</v>
      </c>
      <c r="E3207">
        <v>166.3</v>
      </c>
      <c r="F3207">
        <v>100</v>
      </c>
      <c r="G3207">
        <v>99.9</v>
      </c>
      <c r="H3207">
        <v>132.80000000000001</v>
      </c>
      <c r="I3207">
        <v>136.6</v>
      </c>
      <c r="J3207">
        <v>100</v>
      </c>
      <c r="K3207">
        <v>100</v>
      </c>
      <c r="L3207" s="1" t="s">
        <v>7555</v>
      </c>
      <c r="M3207" t="s">
        <v>22</v>
      </c>
      <c r="N3207">
        <v>1</v>
      </c>
    </row>
    <row r="3208" spans="1:14" x14ac:dyDescent="0.25">
      <c r="A3208" s="3" t="str">
        <f>HYPERLINK("http://www.ncbi.nlm.nih.gov/gene/5521","5521")</f>
        <v>5521</v>
      </c>
      <c r="B3208" s="1" t="s">
        <v>7557</v>
      </c>
      <c r="C3208" t="s">
        <v>7558</v>
      </c>
      <c r="D3208">
        <v>147.19999999999999</v>
      </c>
      <c r="E3208">
        <v>153.5</v>
      </c>
      <c r="F3208">
        <v>100</v>
      </c>
      <c r="G3208">
        <v>99.4</v>
      </c>
      <c r="H3208">
        <v>149.19999999999999</v>
      </c>
      <c r="I3208">
        <v>154.5</v>
      </c>
      <c r="J3208">
        <v>100</v>
      </c>
      <c r="K3208">
        <v>100</v>
      </c>
      <c r="L3208" s="1" t="s">
        <v>7557</v>
      </c>
      <c r="M3208" t="s">
        <v>285</v>
      </c>
      <c r="N3208">
        <v>1</v>
      </c>
    </row>
    <row r="3209" spans="1:14" x14ac:dyDescent="0.25">
      <c r="A3209" s="3" t="str">
        <f>HYPERLINK("http://www.ncbi.nlm.nih.gov/gene/55012","55012")</f>
        <v>55012</v>
      </c>
      <c r="B3209" s="1" t="s">
        <v>7559</v>
      </c>
      <c r="C3209" t="s">
        <v>7560</v>
      </c>
      <c r="D3209">
        <v>108</v>
      </c>
      <c r="E3209">
        <v>111.6</v>
      </c>
      <c r="F3209">
        <v>99.6</v>
      </c>
      <c r="G3209">
        <v>94.9</v>
      </c>
      <c r="H3209">
        <v>118.7</v>
      </c>
      <c r="I3209">
        <v>122</v>
      </c>
      <c r="J3209">
        <v>100</v>
      </c>
      <c r="K3209">
        <v>100</v>
      </c>
      <c r="L3209" s="1" t="s">
        <v>7559</v>
      </c>
      <c r="M3209" t="s">
        <v>569</v>
      </c>
      <c r="N3209">
        <v>2</v>
      </c>
    </row>
    <row r="3210" spans="1:14" x14ac:dyDescent="0.25">
      <c r="A3210" s="3" t="str">
        <f>HYPERLINK("http://www.ncbi.nlm.nih.gov/gene/5526","5526")</f>
        <v>5526</v>
      </c>
      <c r="B3210" s="1" t="s">
        <v>7561</v>
      </c>
      <c r="C3210" t="s">
        <v>7562</v>
      </c>
      <c r="D3210">
        <v>126.8</v>
      </c>
      <c r="E3210">
        <v>128.30000000000001</v>
      </c>
      <c r="F3210">
        <v>100</v>
      </c>
      <c r="G3210">
        <v>100</v>
      </c>
      <c r="H3210">
        <v>131.19999999999999</v>
      </c>
      <c r="I3210">
        <v>134.6</v>
      </c>
      <c r="J3210">
        <v>100</v>
      </c>
      <c r="K3210">
        <v>100</v>
      </c>
      <c r="L3210" s="1" t="s">
        <v>7561</v>
      </c>
      <c r="M3210" t="s">
        <v>189</v>
      </c>
      <c r="N3210">
        <v>2</v>
      </c>
    </row>
    <row r="3211" spans="1:14" x14ac:dyDescent="0.25">
      <c r="A3211" s="3" t="str">
        <f>HYPERLINK("http://www.ncbi.nlm.nih.gov/gene/5527","5527")</f>
        <v>5527</v>
      </c>
      <c r="B3211" s="1" t="s">
        <v>7563</v>
      </c>
      <c r="C3211" t="s">
        <v>7564</v>
      </c>
      <c r="D3211">
        <v>114.5</v>
      </c>
      <c r="E3211">
        <v>118.8</v>
      </c>
      <c r="F3211">
        <v>97.7</v>
      </c>
      <c r="G3211">
        <v>93.1</v>
      </c>
      <c r="H3211">
        <v>133.1</v>
      </c>
      <c r="I3211">
        <v>137</v>
      </c>
      <c r="J3211">
        <v>100</v>
      </c>
      <c r="K3211">
        <v>100</v>
      </c>
      <c r="L3211" s="1" t="s">
        <v>7563</v>
      </c>
      <c r="M3211" t="s">
        <v>189</v>
      </c>
      <c r="N3211">
        <v>2</v>
      </c>
    </row>
    <row r="3212" spans="1:14" x14ac:dyDescent="0.25">
      <c r="A3212" s="3" t="str">
        <f>HYPERLINK("http://www.ncbi.nlm.nih.gov/gene/5528","5528")</f>
        <v>5528</v>
      </c>
      <c r="B3212" s="1" t="s">
        <v>7565</v>
      </c>
      <c r="C3212" t="s">
        <v>7566</v>
      </c>
      <c r="D3212">
        <v>173</v>
      </c>
      <c r="E3212">
        <v>177.6</v>
      </c>
      <c r="F3212">
        <v>100</v>
      </c>
      <c r="G3212">
        <v>100</v>
      </c>
      <c r="H3212">
        <v>137.6</v>
      </c>
      <c r="I3212">
        <v>140.69999999999999</v>
      </c>
      <c r="J3212">
        <v>100</v>
      </c>
      <c r="K3212">
        <v>100</v>
      </c>
      <c r="L3212" s="1" t="s">
        <v>7565</v>
      </c>
      <c r="M3212" t="s">
        <v>995</v>
      </c>
      <c r="N3212">
        <v>3</v>
      </c>
    </row>
    <row r="3213" spans="1:14" x14ac:dyDescent="0.25">
      <c r="A3213" s="3" t="str">
        <f>HYPERLINK("http://www.ncbi.nlm.nih.gov/gene/5530","5530")</f>
        <v>5530</v>
      </c>
      <c r="B3213" s="1" t="s">
        <v>7567</v>
      </c>
      <c r="C3213" t="s">
        <v>7568</v>
      </c>
      <c r="D3213">
        <v>139.69999999999999</v>
      </c>
      <c r="E3213">
        <v>143.4</v>
      </c>
      <c r="F3213">
        <v>99.8</v>
      </c>
      <c r="G3213">
        <v>98.4</v>
      </c>
      <c r="H3213">
        <v>131.30000000000001</v>
      </c>
      <c r="I3213">
        <v>134.19999999999999</v>
      </c>
      <c r="J3213">
        <v>100</v>
      </c>
      <c r="K3213">
        <v>100</v>
      </c>
      <c r="L3213" s="1" t="s">
        <v>7567</v>
      </c>
      <c r="M3213" t="s">
        <v>189</v>
      </c>
      <c r="N3213">
        <v>2</v>
      </c>
    </row>
    <row r="3214" spans="1:14" x14ac:dyDescent="0.25">
      <c r="A3214" s="3" t="str">
        <f>HYPERLINK("http://www.ncbi.nlm.nih.gov/gene/5538","5538")</f>
        <v>5538</v>
      </c>
      <c r="B3214" s="1" t="s">
        <v>7569</v>
      </c>
      <c r="C3214" t="s">
        <v>7570</v>
      </c>
      <c r="D3214">
        <v>159.5</v>
      </c>
      <c r="E3214">
        <v>164.4</v>
      </c>
      <c r="F3214">
        <v>90.3</v>
      </c>
      <c r="G3214">
        <v>90.3</v>
      </c>
      <c r="H3214">
        <v>108.7</v>
      </c>
      <c r="I3214">
        <v>111</v>
      </c>
      <c r="J3214">
        <v>82.5</v>
      </c>
      <c r="K3214">
        <v>82.5</v>
      </c>
      <c r="L3214" s="1" t="s">
        <v>7569</v>
      </c>
      <c r="M3214" t="s">
        <v>1981</v>
      </c>
      <c r="N3214">
        <v>6</v>
      </c>
    </row>
    <row r="3215" spans="1:14" x14ac:dyDescent="0.25">
      <c r="A3215" s="3" t="str">
        <f>HYPERLINK("http://www.ncbi.nlm.nih.gov/gene/10084","10084")</f>
        <v>10084</v>
      </c>
      <c r="B3215" s="1" t="s">
        <v>7571</v>
      </c>
      <c r="C3215" t="s">
        <v>7572</v>
      </c>
      <c r="D3215">
        <v>134.19999999999999</v>
      </c>
      <c r="E3215">
        <v>137.80000000000001</v>
      </c>
      <c r="F3215">
        <v>100</v>
      </c>
      <c r="G3215">
        <v>100</v>
      </c>
      <c r="H3215">
        <v>137.1</v>
      </c>
      <c r="I3215">
        <v>140.9</v>
      </c>
      <c r="J3215">
        <v>100</v>
      </c>
      <c r="K3215">
        <v>100</v>
      </c>
      <c r="L3215" s="1" t="s">
        <v>7571</v>
      </c>
      <c r="M3215" t="s">
        <v>7573</v>
      </c>
      <c r="N3215">
        <v>5</v>
      </c>
    </row>
    <row r="3216" spans="1:14" x14ac:dyDescent="0.25">
      <c r="A3216" s="3" t="str">
        <f>HYPERLINK("http://www.ncbi.nlm.nih.gov/gene/5546","5546")</f>
        <v>5546</v>
      </c>
      <c r="B3216" s="1" t="s">
        <v>7574</v>
      </c>
      <c r="C3216" t="s">
        <v>7575</v>
      </c>
      <c r="D3216">
        <v>172.9</v>
      </c>
      <c r="E3216">
        <v>175.6</v>
      </c>
      <c r="F3216">
        <v>99.9</v>
      </c>
      <c r="G3216">
        <v>98.5</v>
      </c>
      <c r="H3216">
        <v>149.30000000000001</v>
      </c>
      <c r="I3216">
        <v>151.69999999999999</v>
      </c>
      <c r="J3216">
        <v>100</v>
      </c>
      <c r="K3216">
        <v>100</v>
      </c>
      <c r="L3216" s="1" t="s">
        <v>7574</v>
      </c>
      <c r="M3216" t="s">
        <v>22</v>
      </c>
      <c r="N3216">
        <v>1</v>
      </c>
    </row>
    <row r="3217" spans="1:14" x14ac:dyDescent="0.25">
      <c r="A3217" s="3" t="str">
        <f>HYPERLINK("http://www.ncbi.nlm.nih.gov/gene/768206","768206")</f>
        <v>768206</v>
      </c>
      <c r="B3217" s="1" t="s">
        <v>7576</v>
      </c>
      <c r="C3217" t="s">
        <v>7577</v>
      </c>
      <c r="D3217">
        <v>121.8</v>
      </c>
      <c r="E3217">
        <v>125</v>
      </c>
      <c r="F3217">
        <v>100</v>
      </c>
      <c r="G3217">
        <v>100</v>
      </c>
      <c r="H3217">
        <v>123</v>
      </c>
      <c r="I3217">
        <v>125.4</v>
      </c>
      <c r="J3217">
        <v>100</v>
      </c>
      <c r="K3217">
        <v>100</v>
      </c>
      <c r="L3217" s="1" t="s">
        <v>7576</v>
      </c>
      <c r="M3217" t="s">
        <v>2014</v>
      </c>
      <c r="N3217">
        <v>3</v>
      </c>
    </row>
    <row r="3218" spans="1:14" x14ac:dyDescent="0.25">
      <c r="A3218" s="3" t="str">
        <f>HYPERLINK("http://www.ncbi.nlm.nih.gov/gene/59335","59335")</f>
        <v>59335</v>
      </c>
      <c r="B3218" s="1" t="s">
        <v>7578</v>
      </c>
      <c r="C3218" t="s">
        <v>7579</v>
      </c>
      <c r="D3218">
        <v>115.1</v>
      </c>
      <c r="E3218">
        <v>123.7</v>
      </c>
      <c r="F3218">
        <v>90.8</v>
      </c>
      <c r="G3218">
        <v>88</v>
      </c>
      <c r="H3218">
        <v>128.30000000000001</v>
      </c>
      <c r="I3218">
        <v>140</v>
      </c>
      <c r="J3218">
        <v>93.4</v>
      </c>
      <c r="K3218">
        <v>91.7</v>
      </c>
      <c r="L3218" s="1" t="s">
        <v>7578</v>
      </c>
      <c r="M3218" t="s">
        <v>6470</v>
      </c>
      <c r="N3218">
        <v>4</v>
      </c>
    </row>
    <row r="3219" spans="1:14" x14ac:dyDescent="0.25">
      <c r="A3219" s="3" t="str">
        <f>HYPERLINK("http://www.ncbi.nlm.nih.gov/gene/59336","59336")</f>
        <v>59336</v>
      </c>
      <c r="B3219" s="1" t="s">
        <v>7580</v>
      </c>
      <c r="C3219" t="s">
        <v>7581</v>
      </c>
      <c r="D3219">
        <v>128.6</v>
      </c>
      <c r="E3219">
        <v>133</v>
      </c>
      <c r="F3219">
        <v>99.2</v>
      </c>
      <c r="G3219">
        <v>94.1</v>
      </c>
      <c r="H3219">
        <v>143.6</v>
      </c>
      <c r="I3219">
        <v>140.80000000000001</v>
      </c>
      <c r="J3219">
        <v>100</v>
      </c>
      <c r="K3219">
        <v>100</v>
      </c>
      <c r="L3219" s="1" t="s">
        <v>7580</v>
      </c>
      <c r="M3219" t="s">
        <v>302</v>
      </c>
      <c r="N3219">
        <v>2</v>
      </c>
    </row>
    <row r="3220" spans="1:14" x14ac:dyDescent="0.25">
      <c r="A3220" s="3" t="str">
        <f>HYPERLINK("http://www.ncbi.nlm.nih.gov/gene/63976","63976")</f>
        <v>63976</v>
      </c>
      <c r="B3220" s="1" t="s">
        <v>7582</v>
      </c>
      <c r="C3220" t="s">
        <v>7583</v>
      </c>
      <c r="D3220">
        <v>222.3</v>
      </c>
      <c r="E3220">
        <v>230</v>
      </c>
      <c r="F3220">
        <v>99.8</v>
      </c>
      <c r="G3220">
        <v>99.1</v>
      </c>
      <c r="H3220">
        <v>162.30000000000001</v>
      </c>
      <c r="I3220">
        <v>164.1</v>
      </c>
      <c r="J3220">
        <v>100</v>
      </c>
      <c r="K3220">
        <v>100</v>
      </c>
      <c r="L3220" s="1" t="s">
        <v>7582</v>
      </c>
      <c r="M3220" t="s">
        <v>197</v>
      </c>
      <c r="N3220">
        <v>2</v>
      </c>
    </row>
    <row r="3221" spans="1:14" x14ac:dyDescent="0.25">
      <c r="A3221" s="3" t="str">
        <f>HYPERLINK("http://www.ncbi.nlm.nih.gov/gene/11107","11107")</f>
        <v>11107</v>
      </c>
      <c r="B3221" s="1" t="s">
        <v>7584</v>
      </c>
      <c r="C3221" t="s">
        <v>7585</v>
      </c>
      <c r="D3221">
        <v>156.80000000000001</v>
      </c>
      <c r="E3221">
        <v>162.69999999999999</v>
      </c>
      <c r="F3221">
        <v>99.9</v>
      </c>
      <c r="G3221">
        <v>99.2</v>
      </c>
      <c r="H3221">
        <v>143.4</v>
      </c>
      <c r="I3221">
        <v>147.19999999999999</v>
      </c>
      <c r="J3221">
        <v>100</v>
      </c>
      <c r="K3221">
        <v>100</v>
      </c>
      <c r="L3221" s="1" t="s">
        <v>7584</v>
      </c>
      <c r="M3221" t="s">
        <v>56</v>
      </c>
      <c r="N3221">
        <v>3</v>
      </c>
    </row>
    <row r="3222" spans="1:14" x14ac:dyDescent="0.25">
      <c r="A3222" s="3" t="str">
        <f>HYPERLINK("http://www.ncbi.nlm.nih.gov/gene/93166","93166")</f>
        <v>93166</v>
      </c>
      <c r="B3222" s="1" t="s">
        <v>7586</v>
      </c>
      <c r="C3222" t="s">
        <v>7587</v>
      </c>
      <c r="D3222">
        <v>115.4</v>
      </c>
      <c r="E3222">
        <v>113.4</v>
      </c>
      <c r="F3222">
        <v>95.8</v>
      </c>
      <c r="G3222">
        <v>87.8</v>
      </c>
      <c r="H3222">
        <v>128.4</v>
      </c>
      <c r="I3222">
        <v>129.6</v>
      </c>
      <c r="J3222">
        <v>100</v>
      </c>
      <c r="K3222">
        <v>100</v>
      </c>
      <c r="L3222" s="1" t="s">
        <v>7586</v>
      </c>
      <c r="M3222" t="s">
        <v>285</v>
      </c>
      <c r="N3222">
        <v>1</v>
      </c>
    </row>
    <row r="3223" spans="1:14" x14ac:dyDescent="0.25">
      <c r="A3223" s="3" t="str">
        <f>HYPERLINK("http://www.ncbi.nlm.nih.gov/gene/56978","56978")</f>
        <v>56978</v>
      </c>
      <c r="B3223" s="1" t="s">
        <v>7588</v>
      </c>
      <c r="C3223" t="s">
        <v>7589</v>
      </c>
      <c r="D3223">
        <v>110.4</v>
      </c>
      <c r="E3223">
        <v>107.9</v>
      </c>
      <c r="F3223">
        <v>92.9</v>
      </c>
      <c r="G3223">
        <v>88.6</v>
      </c>
      <c r="H3223">
        <v>135</v>
      </c>
      <c r="I3223">
        <v>136.80000000000001</v>
      </c>
      <c r="J3223">
        <v>100</v>
      </c>
      <c r="K3223">
        <v>99.8</v>
      </c>
      <c r="L3223" s="1" t="s">
        <v>7588</v>
      </c>
      <c r="M3223" t="s">
        <v>53</v>
      </c>
      <c r="N3223">
        <v>2</v>
      </c>
    </row>
    <row r="3224" spans="1:14" x14ac:dyDescent="0.25">
      <c r="A3224" s="3" t="str">
        <f>HYPERLINK("http://www.ncbi.nlm.nih.gov/gene/5052","5052")</f>
        <v>5052</v>
      </c>
      <c r="B3224" s="1" t="s">
        <v>7590</v>
      </c>
      <c r="C3224" t="s">
        <v>7591</v>
      </c>
      <c r="D3224">
        <v>117.1</v>
      </c>
      <c r="E3224">
        <v>119</v>
      </c>
      <c r="F3224">
        <v>100</v>
      </c>
      <c r="G3224">
        <v>100</v>
      </c>
      <c r="H3224">
        <v>149.30000000000001</v>
      </c>
      <c r="I3224">
        <v>152.69999999999999</v>
      </c>
      <c r="J3224">
        <v>100</v>
      </c>
      <c r="K3224">
        <v>100</v>
      </c>
      <c r="L3224" s="1" t="s">
        <v>7590</v>
      </c>
      <c r="M3224" t="s">
        <v>53</v>
      </c>
      <c r="N3224">
        <v>2</v>
      </c>
    </row>
    <row r="3225" spans="1:14" x14ac:dyDescent="0.25">
      <c r="A3225" s="3" t="str">
        <f>HYPERLINK("http://www.ncbi.nlm.nih.gov/gene/9581","9581")</f>
        <v>9581</v>
      </c>
      <c r="B3225" s="1" t="s">
        <v>7592</v>
      </c>
      <c r="C3225" t="s">
        <v>7593</v>
      </c>
      <c r="D3225">
        <v>126.4</v>
      </c>
      <c r="E3225">
        <v>132.5</v>
      </c>
      <c r="F3225">
        <v>99.8</v>
      </c>
      <c r="G3225">
        <v>98.2</v>
      </c>
      <c r="H3225">
        <v>138.19999999999999</v>
      </c>
      <c r="I3225">
        <v>143</v>
      </c>
      <c r="J3225">
        <v>100</v>
      </c>
      <c r="K3225">
        <v>100</v>
      </c>
      <c r="L3225" s="1" t="s">
        <v>7592</v>
      </c>
      <c r="M3225" t="s">
        <v>1804</v>
      </c>
      <c r="N3225">
        <v>3</v>
      </c>
    </row>
    <row r="3226" spans="1:14" x14ac:dyDescent="0.25">
      <c r="A3226" s="3" t="str">
        <f>HYPERLINK("http://www.ncbi.nlm.nih.gov/gene/5551","5551")</f>
        <v>5551</v>
      </c>
      <c r="B3226" s="1" t="s">
        <v>7594</v>
      </c>
      <c r="C3226" t="s">
        <v>7595</v>
      </c>
      <c r="D3226">
        <v>120.3</v>
      </c>
      <c r="E3226">
        <v>114.3</v>
      </c>
      <c r="F3226">
        <v>91.2</v>
      </c>
      <c r="G3226">
        <v>90.8</v>
      </c>
      <c r="H3226">
        <v>152</v>
      </c>
      <c r="I3226">
        <v>154.5</v>
      </c>
      <c r="J3226">
        <v>100</v>
      </c>
      <c r="K3226">
        <v>100</v>
      </c>
      <c r="L3226" s="1" t="s">
        <v>7594</v>
      </c>
      <c r="M3226" t="s">
        <v>7596</v>
      </c>
      <c r="N3226">
        <v>7</v>
      </c>
    </row>
    <row r="3227" spans="1:14" x14ac:dyDescent="0.25">
      <c r="A3227" s="3" t="str">
        <f>HYPERLINK("http://www.ncbi.nlm.nih.gov/gene/10216","10216")</f>
        <v>10216</v>
      </c>
      <c r="B3227" s="1" t="s">
        <v>7597</v>
      </c>
      <c r="C3227" t="s">
        <v>7598</v>
      </c>
      <c r="D3227">
        <v>127.1</v>
      </c>
      <c r="E3227">
        <v>117</v>
      </c>
      <c r="F3227">
        <v>87.4</v>
      </c>
      <c r="G3227">
        <v>80.900000000000006</v>
      </c>
      <c r="H3227">
        <v>174.9</v>
      </c>
      <c r="I3227">
        <v>182.7</v>
      </c>
      <c r="J3227">
        <v>100</v>
      </c>
      <c r="K3227">
        <v>100</v>
      </c>
      <c r="L3227" s="1" t="s">
        <v>7597</v>
      </c>
      <c r="M3227" t="s">
        <v>53</v>
      </c>
      <c r="N3227">
        <v>2</v>
      </c>
    </row>
    <row r="3228" spans="1:14" x14ac:dyDescent="0.25">
      <c r="A3228" s="3" t="str">
        <f>HYPERLINK("http://www.ncbi.nlm.nih.gov/gene/144165","144165")</f>
        <v>144165</v>
      </c>
      <c r="B3228" s="1" t="s">
        <v>7599</v>
      </c>
      <c r="C3228" t="s">
        <v>7600</v>
      </c>
      <c r="D3228">
        <v>124.5</v>
      </c>
      <c r="E3228">
        <v>118.6</v>
      </c>
      <c r="F3228">
        <v>100</v>
      </c>
      <c r="G3228">
        <v>100</v>
      </c>
      <c r="H3228">
        <v>154.69999999999999</v>
      </c>
      <c r="I3228">
        <v>156.6</v>
      </c>
      <c r="J3228">
        <v>100</v>
      </c>
      <c r="K3228">
        <v>100</v>
      </c>
      <c r="L3228" s="1" t="s">
        <v>7599</v>
      </c>
      <c r="M3228" t="s">
        <v>3086</v>
      </c>
      <c r="N3228">
        <v>4</v>
      </c>
    </row>
    <row r="3229" spans="1:14" x14ac:dyDescent="0.25">
      <c r="A3229" s="3" t="str">
        <f>HYPERLINK("http://www.ncbi.nlm.nih.gov/gene/201973","201973")</f>
        <v>201973</v>
      </c>
      <c r="B3229" s="1" t="s">
        <v>7601</v>
      </c>
      <c r="C3229" t="s">
        <v>7602</v>
      </c>
      <c r="D3229">
        <v>132.19999999999999</v>
      </c>
      <c r="E3229">
        <v>138.1</v>
      </c>
      <c r="F3229">
        <v>97.5</v>
      </c>
      <c r="G3229">
        <v>94.6</v>
      </c>
      <c r="H3229">
        <v>115</v>
      </c>
      <c r="I3229">
        <v>119.1</v>
      </c>
      <c r="J3229">
        <v>100</v>
      </c>
      <c r="K3229">
        <v>100</v>
      </c>
      <c r="L3229" s="1" t="s">
        <v>7601</v>
      </c>
      <c r="M3229" t="s">
        <v>302</v>
      </c>
      <c r="N3229">
        <v>2</v>
      </c>
    </row>
    <row r="3230" spans="1:14" x14ac:dyDescent="0.25">
      <c r="A3230" s="3" t="str">
        <f>HYPERLINK("http://www.ncbi.nlm.nih.gov/gene/5562","5562")</f>
        <v>5562</v>
      </c>
      <c r="B3230" s="1" t="s">
        <v>7603</v>
      </c>
      <c r="C3230" t="s">
        <v>7604</v>
      </c>
      <c r="D3230">
        <v>172.4</v>
      </c>
      <c r="E3230">
        <v>176.8</v>
      </c>
      <c r="F3230">
        <v>100</v>
      </c>
      <c r="G3230">
        <v>99.5</v>
      </c>
      <c r="H3230">
        <v>128.9</v>
      </c>
      <c r="I3230">
        <v>133.1</v>
      </c>
      <c r="J3230">
        <v>100</v>
      </c>
      <c r="K3230">
        <v>100</v>
      </c>
      <c r="L3230" s="1" t="s">
        <v>7603</v>
      </c>
      <c r="M3230" t="s">
        <v>265</v>
      </c>
      <c r="N3230">
        <v>2</v>
      </c>
    </row>
    <row r="3231" spans="1:14" x14ac:dyDescent="0.25">
      <c r="A3231" s="3" t="str">
        <f>HYPERLINK("http://www.ncbi.nlm.nih.gov/gene/5566","5566")</f>
        <v>5566</v>
      </c>
      <c r="B3231" s="1" t="s">
        <v>7605</v>
      </c>
      <c r="C3231" t="s">
        <v>7606</v>
      </c>
      <c r="D3231">
        <v>118.4</v>
      </c>
      <c r="E3231">
        <v>122.7</v>
      </c>
      <c r="F3231">
        <v>80.099999999999994</v>
      </c>
      <c r="G3231">
        <v>79.3</v>
      </c>
      <c r="H3231">
        <v>122.1</v>
      </c>
      <c r="I3231">
        <v>124.3</v>
      </c>
      <c r="J3231">
        <v>100</v>
      </c>
      <c r="K3231">
        <v>100</v>
      </c>
      <c r="L3231" s="1" t="s">
        <v>7605</v>
      </c>
      <c r="M3231" t="s">
        <v>22</v>
      </c>
      <c r="N3231">
        <v>1</v>
      </c>
    </row>
    <row r="3232" spans="1:14" x14ac:dyDescent="0.25">
      <c r="A3232" s="3" t="str">
        <f>HYPERLINK("http://www.ncbi.nlm.nih.gov/gene/5568","5568")</f>
        <v>5568</v>
      </c>
      <c r="B3232" s="1" t="s">
        <v>7607</v>
      </c>
      <c r="C3232" t="s">
        <v>7608</v>
      </c>
      <c r="D3232">
        <v>197.9</v>
      </c>
      <c r="E3232">
        <v>191.9</v>
      </c>
      <c r="F3232">
        <v>100</v>
      </c>
      <c r="G3232">
        <v>99.9</v>
      </c>
      <c r="H3232">
        <v>168.3</v>
      </c>
      <c r="I3232">
        <v>174.4</v>
      </c>
      <c r="J3232">
        <v>100</v>
      </c>
      <c r="K3232">
        <v>100</v>
      </c>
      <c r="L3232" s="1" t="s">
        <v>7607</v>
      </c>
      <c r="M3232" t="s">
        <v>1563</v>
      </c>
      <c r="N3232">
        <v>2</v>
      </c>
    </row>
    <row r="3233" spans="1:14" x14ac:dyDescent="0.25">
      <c r="A3233" s="3" t="str">
        <f>HYPERLINK("http://www.ncbi.nlm.nih.gov/gene/51422","51422")</f>
        <v>51422</v>
      </c>
      <c r="B3233" s="1" t="s">
        <v>7609</v>
      </c>
      <c r="C3233" t="s">
        <v>7610</v>
      </c>
      <c r="D3233">
        <v>146.80000000000001</v>
      </c>
      <c r="E3233">
        <v>152.4</v>
      </c>
      <c r="F3233">
        <v>99.1</v>
      </c>
      <c r="G3233">
        <v>96.7</v>
      </c>
      <c r="H3233">
        <v>121.8</v>
      </c>
      <c r="I3233">
        <v>125.3</v>
      </c>
      <c r="J3233">
        <v>100</v>
      </c>
      <c r="K3233">
        <v>99.4</v>
      </c>
      <c r="L3233" s="1" t="s">
        <v>7609</v>
      </c>
      <c r="M3233" t="s">
        <v>7611</v>
      </c>
      <c r="N3233">
        <v>3</v>
      </c>
    </row>
    <row r="3234" spans="1:14" x14ac:dyDescent="0.25">
      <c r="A3234" s="3" t="str">
        <f>HYPERLINK("http://www.ncbi.nlm.nih.gov/gene/5573","5573")</f>
        <v>5573</v>
      </c>
      <c r="B3234" s="1" t="s">
        <v>7612</v>
      </c>
      <c r="C3234" t="s">
        <v>7613</v>
      </c>
      <c r="D3234">
        <v>92.5</v>
      </c>
      <c r="E3234">
        <v>94.5</v>
      </c>
      <c r="F3234">
        <v>99.3</v>
      </c>
      <c r="G3234">
        <v>93.5</v>
      </c>
      <c r="H3234">
        <v>142.30000000000001</v>
      </c>
      <c r="I3234">
        <v>145.6</v>
      </c>
      <c r="J3234">
        <v>100</v>
      </c>
      <c r="K3234">
        <v>100</v>
      </c>
      <c r="L3234" s="1" t="s">
        <v>7612</v>
      </c>
      <c r="M3234" t="s">
        <v>7614</v>
      </c>
      <c r="N3234">
        <v>5</v>
      </c>
    </row>
    <row r="3235" spans="1:14" x14ac:dyDescent="0.25">
      <c r="A3235" s="3" t="str">
        <f>HYPERLINK("http://www.ncbi.nlm.nih.gov/gene/5578","5578")</f>
        <v>5578</v>
      </c>
      <c r="B3235" s="1" t="s">
        <v>7615</v>
      </c>
      <c r="C3235" t="s">
        <v>7616</v>
      </c>
      <c r="D3235">
        <v>153.30000000000001</v>
      </c>
      <c r="E3235">
        <v>159.9</v>
      </c>
      <c r="F3235">
        <v>100</v>
      </c>
      <c r="G3235">
        <v>100</v>
      </c>
      <c r="H3235">
        <v>137.30000000000001</v>
      </c>
      <c r="I3235">
        <v>140.80000000000001</v>
      </c>
      <c r="J3235">
        <v>100</v>
      </c>
      <c r="K3235">
        <v>100</v>
      </c>
      <c r="L3235" s="1" t="s">
        <v>7615</v>
      </c>
      <c r="M3235" t="s">
        <v>22</v>
      </c>
      <c r="N3235">
        <v>1</v>
      </c>
    </row>
    <row r="3236" spans="1:14" x14ac:dyDescent="0.25">
      <c r="A3236" s="3" t="str">
        <f>HYPERLINK("http://www.ncbi.nlm.nih.gov/gene/5579","5579")</f>
        <v>5579</v>
      </c>
      <c r="B3236" s="1" t="s">
        <v>7617</v>
      </c>
      <c r="C3236" t="s">
        <v>7618</v>
      </c>
      <c r="D3236">
        <v>158.5</v>
      </c>
      <c r="E3236">
        <v>164.7</v>
      </c>
      <c r="F3236">
        <v>100</v>
      </c>
      <c r="G3236">
        <v>100</v>
      </c>
      <c r="H3236">
        <v>133</v>
      </c>
      <c r="I3236">
        <v>137.80000000000001</v>
      </c>
      <c r="J3236">
        <v>100</v>
      </c>
      <c r="K3236">
        <v>100</v>
      </c>
      <c r="L3236" s="1" t="s">
        <v>7617</v>
      </c>
      <c r="M3236" t="s">
        <v>76</v>
      </c>
      <c r="N3236">
        <v>2</v>
      </c>
    </row>
    <row r="3237" spans="1:14" x14ac:dyDescent="0.25">
      <c r="A3237" s="3" t="str">
        <f>HYPERLINK("http://www.ncbi.nlm.nih.gov/gene/5580","5580")</f>
        <v>5580</v>
      </c>
      <c r="B3237" s="1" t="s">
        <v>7619</v>
      </c>
      <c r="C3237" t="s">
        <v>7620</v>
      </c>
      <c r="D3237">
        <v>168.2</v>
      </c>
      <c r="E3237">
        <v>175</v>
      </c>
      <c r="F3237">
        <v>100</v>
      </c>
      <c r="G3237">
        <v>100</v>
      </c>
      <c r="H3237">
        <v>127.9</v>
      </c>
      <c r="I3237">
        <v>131.1</v>
      </c>
      <c r="J3237">
        <v>100</v>
      </c>
      <c r="K3237">
        <v>100</v>
      </c>
      <c r="L3237" s="1" t="s">
        <v>7619</v>
      </c>
      <c r="M3237" t="s">
        <v>1097</v>
      </c>
      <c r="N3237">
        <v>3</v>
      </c>
    </row>
    <row r="3238" spans="1:14" x14ac:dyDescent="0.25">
      <c r="A3238" s="3" t="str">
        <f>HYPERLINK("http://www.ncbi.nlm.nih.gov/gene/5582","5582")</f>
        <v>5582</v>
      </c>
      <c r="B3238" s="1" t="s">
        <v>7621</v>
      </c>
      <c r="C3238" t="s">
        <v>7622</v>
      </c>
      <c r="D3238">
        <v>149.6</v>
      </c>
      <c r="E3238">
        <v>153.1</v>
      </c>
      <c r="F3238">
        <v>99.9</v>
      </c>
      <c r="G3238">
        <v>98.4</v>
      </c>
      <c r="H3238">
        <v>149.6</v>
      </c>
      <c r="I3238">
        <v>153.80000000000001</v>
      </c>
      <c r="J3238">
        <v>100</v>
      </c>
      <c r="K3238">
        <v>100</v>
      </c>
      <c r="L3238" s="1" t="s">
        <v>7621</v>
      </c>
      <c r="M3238" t="s">
        <v>600</v>
      </c>
      <c r="N3238">
        <v>2</v>
      </c>
    </row>
    <row r="3239" spans="1:14" x14ac:dyDescent="0.25">
      <c r="A3239" s="3" t="str">
        <f>HYPERLINK("http://www.ncbi.nlm.nih.gov/gene/5589","5589")</f>
        <v>5589</v>
      </c>
      <c r="B3239" s="1" t="s">
        <v>7623</v>
      </c>
      <c r="C3239" t="s">
        <v>7624</v>
      </c>
      <c r="D3239">
        <v>158.1</v>
      </c>
      <c r="E3239">
        <v>160.1</v>
      </c>
      <c r="F3239">
        <v>99.8</v>
      </c>
      <c r="G3239">
        <v>95.4</v>
      </c>
      <c r="H3239">
        <v>131.1</v>
      </c>
      <c r="I3239">
        <v>133.19999999999999</v>
      </c>
      <c r="J3239">
        <v>100</v>
      </c>
      <c r="K3239">
        <v>100</v>
      </c>
      <c r="L3239" s="1" t="s">
        <v>7623</v>
      </c>
      <c r="M3239" t="s">
        <v>7625</v>
      </c>
      <c r="N3239">
        <v>3</v>
      </c>
    </row>
    <row r="3240" spans="1:14" x14ac:dyDescent="0.25">
      <c r="A3240" s="3" t="str">
        <f>HYPERLINK("http://www.ncbi.nlm.nih.gov/gene/5587","5587")</f>
        <v>5587</v>
      </c>
      <c r="B3240" s="1" t="s">
        <v>7626</v>
      </c>
      <c r="C3240" t="s">
        <v>7627</v>
      </c>
      <c r="D3240">
        <v>153.6</v>
      </c>
      <c r="E3240">
        <v>159.80000000000001</v>
      </c>
      <c r="F3240">
        <v>99.6</v>
      </c>
      <c r="G3240">
        <v>98.7</v>
      </c>
      <c r="H3240">
        <v>143.6</v>
      </c>
      <c r="I3240">
        <v>148.69999999999999</v>
      </c>
      <c r="J3240">
        <v>100</v>
      </c>
      <c r="K3240">
        <v>100</v>
      </c>
      <c r="L3240" s="1" t="s">
        <v>7626</v>
      </c>
      <c r="M3240" t="s">
        <v>285</v>
      </c>
      <c r="N3240">
        <v>1</v>
      </c>
    </row>
    <row r="3241" spans="1:14" x14ac:dyDescent="0.25">
      <c r="A3241" s="3" t="str">
        <f>HYPERLINK("http://www.ncbi.nlm.nih.gov/gene/5591","5591")</f>
        <v>5591</v>
      </c>
      <c r="B3241" s="1" t="s">
        <v>7628</v>
      </c>
      <c r="C3241" t="s">
        <v>7629</v>
      </c>
      <c r="D3241">
        <v>114.7</v>
      </c>
      <c r="E3241">
        <v>118.8</v>
      </c>
      <c r="F3241">
        <v>99.7</v>
      </c>
      <c r="G3241">
        <v>98</v>
      </c>
      <c r="H3241">
        <v>131.9</v>
      </c>
      <c r="I3241">
        <v>136</v>
      </c>
      <c r="J3241">
        <v>100</v>
      </c>
      <c r="K3241">
        <v>100</v>
      </c>
      <c r="L3241" s="1" t="s">
        <v>7628</v>
      </c>
      <c r="M3241" t="s">
        <v>1551</v>
      </c>
      <c r="N3241">
        <v>4</v>
      </c>
    </row>
    <row r="3242" spans="1:14" x14ac:dyDescent="0.25">
      <c r="A3242" s="3" t="str">
        <f>HYPERLINK("http://www.ncbi.nlm.nih.gov/gene/5592","5592")</f>
        <v>5592</v>
      </c>
      <c r="B3242" s="1" t="s">
        <v>7630</v>
      </c>
      <c r="C3242" t="s">
        <v>7631</v>
      </c>
      <c r="D3242">
        <v>129.9</v>
      </c>
      <c r="E3242">
        <v>133.6</v>
      </c>
      <c r="F3242">
        <v>92.5</v>
      </c>
      <c r="G3242">
        <v>91.2</v>
      </c>
      <c r="H3242">
        <v>124.5</v>
      </c>
      <c r="I3242">
        <v>128.1</v>
      </c>
      <c r="J3242">
        <v>92.7</v>
      </c>
      <c r="K3242">
        <v>92.7</v>
      </c>
      <c r="L3242" s="1" t="s">
        <v>7630</v>
      </c>
      <c r="M3242" t="s">
        <v>741</v>
      </c>
      <c r="N3242">
        <v>3</v>
      </c>
    </row>
    <row r="3243" spans="1:14" x14ac:dyDescent="0.25">
      <c r="A3243" s="3" t="str">
        <f>HYPERLINK("http://www.ncbi.nlm.nih.gov/gene/5593","5593")</f>
        <v>5593</v>
      </c>
      <c r="B3243" s="1" t="s">
        <v>7632</v>
      </c>
      <c r="C3243" t="s">
        <v>7633</v>
      </c>
      <c r="D3243">
        <v>177.1</v>
      </c>
      <c r="E3243">
        <v>183.7</v>
      </c>
      <c r="F3243">
        <v>98.2</v>
      </c>
      <c r="G3243">
        <v>96.7</v>
      </c>
      <c r="H3243">
        <v>144.6</v>
      </c>
      <c r="I3243">
        <v>148.5</v>
      </c>
      <c r="J3243">
        <v>100</v>
      </c>
      <c r="K3243">
        <v>100</v>
      </c>
      <c r="L3243" s="1" t="s">
        <v>7632</v>
      </c>
      <c r="M3243" t="s">
        <v>1487</v>
      </c>
      <c r="N3243">
        <v>2</v>
      </c>
    </row>
    <row r="3244" spans="1:14" x14ac:dyDescent="0.25">
      <c r="A3244" s="3" t="str">
        <f>HYPERLINK("http://www.ncbi.nlm.nih.gov/gene/5071","5071")</f>
        <v>5071</v>
      </c>
      <c r="B3244" s="1" t="s">
        <v>7634</v>
      </c>
      <c r="C3244" t="s">
        <v>7635</v>
      </c>
      <c r="D3244">
        <v>78.900000000000006</v>
      </c>
      <c r="E3244">
        <v>81.8</v>
      </c>
      <c r="F3244">
        <v>67</v>
      </c>
      <c r="G3244">
        <v>66.2</v>
      </c>
      <c r="H3244">
        <v>108.5</v>
      </c>
      <c r="I3244">
        <v>110.7</v>
      </c>
      <c r="J3244">
        <v>75.3</v>
      </c>
      <c r="K3244">
        <v>75.3</v>
      </c>
      <c r="L3244" s="1" t="s">
        <v>7634</v>
      </c>
      <c r="M3244" t="s">
        <v>7636</v>
      </c>
      <c r="N3244">
        <v>4</v>
      </c>
    </row>
    <row r="3245" spans="1:14" x14ac:dyDescent="0.25">
      <c r="A3245" s="3" t="str">
        <f>HYPERLINK("http://www.ncbi.nlm.nih.gov/gene/8575","8575")</f>
        <v>8575</v>
      </c>
      <c r="B3245" s="1" t="s">
        <v>7637</v>
      </c>
      <c r="C3245" t="s">
        <v>7638</v>
      </c>
      <c r="D3245">
        <v>167.9</v>
      </c>
      <c r="E3245">
        <v>175.9</v>
      </c>
      <c r="F3245">
        <v>100</v>
      </c>
      <c r="G3245">
        <v>99.4</v>
      </c>
      <c r="H3245">
        <v>188.2</v>
      </c>
      <c r="I3245">
        <v>195.4</v>
      </c>
      <c r="J3245">
        <v>100</v>
      </c>
      <c r="K3245">
        <v>100</v>
      </c>
      <c r="L3245" s="1" t="s">
        <v>7637</v>
      </c>
      <c r="M3245" t="s">
        <v>7639</v>
      </c>
      <c r="N3245">
        <v>4</v>
      </c>
    </row>
    <row r="3246" spans="1:14" x14ac:dyDescent="0.25">
      <c r="A3246" s="3" t="str">
        <f>HYPERLINK("http://www.ncbi.nlm.nih.gov/gene/5618","5618")</f>
        <v>5618</v>
      </c>
      <c r="B3246" s="1" t="s">
        <v>7640</v>
      </c>
      <c r="C3246" t="s">
        <v>7641</v>
      </c>
      <c r="D3246">
        <v>156.5</v>
      </c>
      <c r="E3246">
        <v>167.7</v>
      </c>
      <c r="F3246">
        <v>99.9</v>
      </c>
      <c r="G3246">
        <v>99.8</v>
      </c>
      <c r="H3246">
        <v>151.9</v>
      </c>
      <c r="I3246">
        <v>151.9</v>
      </c>
      <c r="J3246">
        <v>100</v>
      </c>
      <c r="K3246">
        <v>100</v>
      </c>
      <c r="L3246" s="1" t="s">
        <v>7640</v>
      </c>
      <c r="M3246" t="s">
        <v>4557</v>
      </c>
      <c r="N3246">
        <v>1</v>
      </c>
    </row>
    <row r="3247" spans="1:14" x14ac:dyDescent="0.25">
      <c r="A3247" s="3" t="str">
        <f>HYPERLINK("http://www.ncbi.nlm.nih.gov/gene/54496","54496")</f>
        <v>54496</v>
      </c>
      <c r="B3247" s="1" t="s">
        <v>7642</v>
      </c>
      <c r="C3247" t="s">
        <v>7643</v>
      </c>
      <c r="D3247">
        <v>123</v>
      </c>
      <c r="E3247">
        <v>129.30000000000001</v>
      </c>
      <c r="F3247">
        <v>100</v>
      </c>
      <c r="G3247">
        <v>99.9</v>
      </c>
      <c r="H3247">
        <v>129.4</v>
      </c>
      <c r="I3247">
        <v>132.5</v>
      </c>
      <c r="J3247">
        <v>100</v>
      </c>
      <c r="K3247">
        <v>100</v>
      </c>
      <c r="L3247" s="1" t="s">
        <v>7642</v>
      </c>
      <c r="M3247" t="s">
        <v>228</v>
      </c>
      <c r="N3247">
        <v>3</v>
      </c>
    </row>
    <row r="3248" spans="1:14" x14ac:dyDescent="0.25">
      <c r="A3248" s="3" t="str">
        <f>HYPERLINK("http://www.ncbi.nlm.nih.gov/gene/5621","5621")</f>
        <v>5621</v>
      </c>
      <c r="B3248" s="1" t="s">
        <v>7644</v>
      </c>
      <c r="C3248" t="s">
        <v>7645</v>
      </c>
      <c r="D3248">
        <v>139.69999999999999</v>
      </c>
      <c r="E3248">
        <v>133.80000000000001</v>
      </c>
      <c r="F3248">
        <v>100</v>
      </c>
      <c r="G3248">
        <v>100</v>
      </c>
      <c r="H3248">
        <v>173</v>
      </c>
      <c r="I3248">
        <v>174.4</v>
      </c>
      <c r="J3248">
        <v>100</v>
      </c>
      <c r="K3248">
        <v>100</v>
      </c>
      <c r="L3248" s="1" t="s">
        <v>7644</v>
      </c>
      <c r="M3248" t="s">
        <v>718</v>
      </c>
      <c r="N3248">
        <v>2</v>
      </c>
    </row>
    <row r="3249" spans="1:14" x14ac:dyDescent="0.25">
      <c r="A3249" s="3" t="str">
        <f>HYPERLINK("http://www.ncbi.nlm.nih.gov/gene/5624","5624")</f>
        <v>5624</v>
      </c>
      <c r="B3249" s="1" t="s">
        <v>7646</v>
      </c>
      <c r="C3249" t="s">
        <v>7647</v>
      </c>
      <c r="D3249">
        <v>149.30000000000001</v>
      </c>
      <c r="E3249">
        <v>143.19999999999999</v>
      </c>
      <c r="F3249">
        <v>100</v>
      </c>
      <c r="G3249">
        <v>100</v>
      </c>
      <c r="H3249">
        <v>125</v>
      </c>
      <c r="I3249">
        <v>124.8</v>
      </c>
      <c r="J3249">
        <v>100</v>
      </c>
      <c r="K3249">
        <v>100</v>
      </c>
      <c r="L3249" s="1" t="s">
        <v>7646</v>
      </c>
      <c r="M3249" t="s">
        <v>3345</v>
      </c>
      <c r="N3249">
        <v>3</v>
      </c>
    </row>
    <row r="3250" spans="1:14" x14ac:dyDescent="0.25">
      <c r="A3250" s="3" t="str">
        <f>HYPERLINK("http://www.ncbi.nlm.nih.gov/gene/5625","5625")</f>
        <v>5625</v>
      </c>
      <c r="B3250" s="1" t="s">
        <v>7648</v>
      </c>
      <c r="C3250" t="s">
        <v>7649</v>
      </c>
      <c r="D3250">
        <v>85.8</v>
      </c>
      <c r="E3250">
        <v>89.3</v>
      </c>
      <c r="F3250">
        <v>85</v>
      </c>
      <c r="G3250">
        <v>80.599999999999994</v>
      </c>
      <c r="H3250">
        <v>195.7</v>
      </c>
      <c r="I3250">
        <v>200.6</v>
      </c>
      <c r="J3250">
        <v>100</v>
      </c>
      <c r="K3250">
        <v>100</v>
      </c>
      <c r="L3250" s="1" t="s">
        <v>7648</v>
      </c>
      <c r="M3250" t="s">
        <v>38</v>
      </c>
      <c r="N3250">
        <v>4</v>
      </c>
    </row>
    <row r="3251" spans="1:14" x14ac:dyDescent="0.25">
      <c r="A3251" s="3" t="str">
        <f>HYPERLINK("http://www.ncbi.nlm.nih.gov/gene/60675","60675")</f>
        <v>60675</v>
      </c>
      <c r="B3251" s="1" t="s">
        <v>7650</v>
      </c>
      <c r="C3251" t="s">
        <v>7651</v>
      </c>
      <c r="D3251">
        <v>132.19999999999999</v>
      </c>
      <c r="E3251">
        <v>136.19999999999999</v>
      </c>
      <c r="F3251">
        <v>99.9</v>
      </c>
      <c r="G3251">
        <v>98.5</v>
      </c>
      <c r="H3251">
        <v>128.30000000000001</v>
      </c>
      <c r="I3251">
        <v>131</v>
      </c>
      <c r="J3251">
        <v>100</v>
      </c>
      <c r="K3251">
        <v>100</v>
      </c>
      <c r="L3251" s="1" t="s">
        <v>7650</v>
      </c>
      <c r="M3251" t="s">
        <v>7652</v>
      </c>
      <c r="N3251">
        <v>3</v>
      </c>
    </row>
    <row r="3252" spans="1:14" x14ac:dyDescent="0.25">
      <c r="A3252" s="3" t="str">
        <f>HYPERLINK("http://www.ncbi.nlm.nih.gov/gene/128674","128674")</f>
        <v>128674</v>
      </c>
      <c r="B3252" s="1" t="s">
        <v>7653</v>
      </c>
      <c r="C3252" t="s">
        <v>7654</v>
      </c>
      <c r="D3252">
        <v>235.7</v>
      </c>
      <c r="E3252">
        <v>228.4</v>
      </c>
      <c r="F3252">
        <v>100</v>
      </c>
      <c r="G3252">
        <v>100</v>
      </c>
      <c r="H3252">
        <v>167.1</v>
      </c>
      <c r="I3252">
        <v>170.2</v>
      </c>
      <c r="J3252">
        <v>100</v>
      </c>
      <c r="K3252">
        <v>100</v>
      </c>
      <c r="L3252" s="1" t="s">
        <v>7653</v>
      </c>
      <c r="M3252" t="s">
        <v>7655</v>
      </c>
      <c r="N3252">
        <v>5</v>
      </c>
    </row>
    <row r="3253" spans="1:14" x14ac:dyDescent="0.25">
      <c r="A3253" s="3" t="str">
        <f>HYPERLINK("http://www.ncbi.nlm.nih.gov/gene/8842","8842")</f>
        <v>8842</v>
      </c>
      <c r="B3253" s="1" t="s">
        <v>7656</v>
      </c>
      <c r="C3253" t="s">
        <v>7657</v>
      </c>
      <c r="D3253">
        <v>130.6</v>
      </c>
      <c r="E3253">
        <v>133.30000000000001</v>
      </c>
      <c r="F3253">
        <v>97.2</v>
      </c>
      <c r="G3253">
        <v>96.1</v>
      </c>
      <c r="H3253">
        <v>129.5</v>
      </c>
      <c r="I3253">
        <v>132.9</v>
      </c>
      <c r="J3253">
        <v>100</v>
      </c>
      <c r="K3253">
        <v>100</v>
      </c>
      <c r="L3253" s="1" t="s">
        <v>7656</v>
      </c>
      <c r="M3253" t="s">
        <v>4256</v>
      </c>
      <c r="N3253">
        <v>3</v>
      </c>
    </row>
    <row r="3254" spans="1:14" x14ac:dyDescent="0.25">
      <c r="A3254" s="3" t="str">
        <f>HYPERLINK("http://www.ncbi.nlm.nih.gov/gene/5626","5626")</f>
        <v>5626</v>
      </c>
      <c r="B3254" s="1" t="s">
        <v>7658</v>
      </c>
      <c r="C3254" t="s">
        <v>7659</v>
      </c>
      <c r="D3254">
        <v>92.5</v>
      </c>
      <c r="E3254">
        <v>98.8</v>
      </c>
      <c r="F3254">
        <v>92.6</v>
      </c>
      <c r="G3254">
        <v>82.6</v>
      </c>
      <c r="H3254">
        <v>212.8</v>
      </c>
      <c r="I3254">
        <v>222.7</v>
      </c>
      <c r="J3254">
        <v>100</v>
      </c>
      <c r="K3254">
        <v>100</v>
      </c>
      <c r="L3254" s="1" t="s">
        <v>7658</v>
      </c>
      <c r="M3254" t="s">
        <v>5394</v>
      </c>
      <c r="N3254">
        <v>5</v>
      </c>
    </row>
    <row r="3255" spans="1:14" x14ac:dyDescent="0.25">
      <c r="A3255" s="3" t="str">
        <f>HYPERLINK("http://www.ncbi.nlm.nih.gov/gene/9692","9692")</f>
        <v>9692</v>
      </c>
      <c r="B3255" s="1" t="s">
        <v>7660</v>
      </c>
      <c r="C3255" t="s">
        <v>7661</v>
      </c>
      <c r="D3255">
        <v>139.1</v>
      </c>
      <c r="E3255">
        <v>150.1</v>
      </c>
      <c r="F3255">
        <v>100</v>
      </c>
      <c r="G3255">
        <v>99.5</v>
      </c>
      <c r="H3255">
        <v>133</v>
      </c>
      <c r="I3255">
        <v>136.1</v>
      </c>
      <c r="J3255">
        <v>100</v>
      </c>
      <c r="K3255">
        <v>100</v>
      </c>
      <c r="L3255" s="1" t="s">
        <v>7660</v>
      </c>
      <c r="M3255" t="s">
        <v>1120</v>
      </c>
      <c r="N3255">
        <v>2</v>
      </c>
    </row>
    <row r="3256" spans="1:14" x14ac:dyDescent="0.25">
      <c r="A3256" s="3" t="str">
        <f>HYPERLINK("http://www.ncbi.nlm.nih.gov/gene/5627","5627")</f>
        <v>5627</v>
      </c>
      <c r="B3256" s="1" t="s">
        <v>7662</v>
      </c>
      <c r="C3256" t="s">
        <v>7663</v>
      </c>
      <c r="D3256">
        <v>108.6</v>
      </c>
      <c r="E3256">
        <v>112.8</v>
      </c>
      <c r="F3256">
        <v>96.7</v>
      </c>
      <c r="G3256">
        <v>92.1</v>
      </c>
      <c r="H3256">
        <v>126.7</v>
      </c>
      <c r="I3256">
        <v>130.5</v>
      </c>
      <c r="J3256">
        <v>98.4</v>
      </c>
      <c r="K3256">
        <v>98.4</v>
      </c>
      <c r="L3256" s="1" t="s">
        <v>7662</v>
      </c>
      <c r="M3256" t="s">
        <v>3340</v>
      </c>
      <c r="N3256">
        <v>3</v>
      </c>
    </row>
    <row r="3257" spans="1:14" x14ac:dyDescent="0.25">
      <c r="A3257" s="3" t="str">
        <f>HYPERLINK("http://www.ncbi.nlm.nih.gov/gene/8858","8858")</f>
        <v>8858</v>
      </c>
      <c r="B3257" s="1" t="s">
        <v>7664</v>
      </c>
      <c r="C3257" t="s">
        <v>7665</v>
      </c>
      <c r="D3257">
        <v>134.1</v>
      </c>
      <c r="E3257">
        <v>147.69999999999999</v>
      </c>
      <c r="F3257">
        <v>100</v>
      </c>
      <c r="G3257">
        <v>99.8</v>
      </c>
      <c r="H3257">
        <v>157.80000000000001</v>
      </c>
      <c r="I3257">
        <v>162.1</v>
      </c>
      <c r="J3257">
        <v>100</v>
      </c>
      <c r="K3257">
        <v>100</v>
      </c>
      <c r="L3257" s="1" t="s">
        <v>7664</v>
      </c>
      <c r="M3257" t="s">
        <v>3596</v>
      </c>
      <c r="N3257">
        <v>2</v>
      </c>
    </row>
    <row r="3258" spans="1:14" x14ac:dyDescent="0.25">
      <c r="A3258" s="3" t="str">
        <f>HYPERLINK("http://www.ncbi.nlm.nih.gov/gene/9129","9129")</f>
        <v>9129</v>
      </c>
      <c r="B3258" s="1" t="s">
        <v>7666</v>
      </c>
      <c r="C3258" t="s">
        <v>7667</v>
      </c>
      <c r="D3258">
        <v>87.4</v>
      </c>
      <c r="E3258">
        <v>90.5</v>
      </c>
      <c r="F3258">
        <v>98.8</v>
      </c>
      <c r="G3258">
        <v>95.3</v>
      </c>
      <c r="H3258">
        <v>114.3</v>
      </c>
      <c r="I3258">
        <v>116.6</v>
      </c>
      <c r="J3258">
        <v>100</v>
      </c>
      <c r="K3258">
        <v>100</v>
      </c>
      <c r="L3258" s="1" t="s">
        <v>7666</v>
      </c>
      <c r="M3258" t="s">
        <v>302</v>
      </c>
      <c r="N3258">
        <v>2</v>
      </c>
    </row>
    <row r="3259" spans="1:14" x14ac:dyDescent="0.25">
      <c r="A3259" s="3" t="str">
        <f>HYPERLINK("http://www.ncbi.nlm.nih.gov/gene/26121","26121")</f>
        <v>26121</v>
      </c>
      <c r="B3259" s="1" t="s">
        <v>7668</v>
      </c>
      <c r="C3259" t="s">
        <v>7669</v>
      </c>
      <c r="D3259">
        <v>129.30000000000001</v>
      </c>
      <c r="E3259">
        <v>133.4</v>
      </c>
      <c r="F3259">
        <v>100</v>
      </c>
      <c r="G3259">
        <v>98.7</v>
      </c>
      <c r="H3259">
        <v>219</v>
      </c>
      <c r="I3259">
        <v>223.8</v>
      </c>
      <c r="J3259">
        <v>100</v>
      </c>
      <c r="K3259">
        <v>100</v>
      </c>
      <c r="L3259" s="1" t="s">
        <v>7668</v>
      </c>
      <c r="M3259" t="s">
        <v>302</v>
      </c>
      <c r="N3259">
        <v>2</v>
      </c>
    </row>
    <row r="3260" spans="1:14" x14ac:dyDescent="0.25">
      <c r="A3260" s="3" t="str">
        <f>HYPERLINK("http://www.ncbi.nlm.nih.gov/gene/9128","9128")</f>
        <v>9128</v>
      </c>
      <c r="B3260" s="1" t="s">
        <v>7670</v>
      </c>
      <c r="C3260" t="s">
        <v>7671</v>
      </c>
      <c r="D3260">
        <v>144.5</v>
      </c>
      <c r="E3260">
        <v>148.30000000000001</v>
      </c>
      <c r="F3260">
        <v>100</v>
      </c>
      <c r="G3260">
        <v>99.8</v>
      </c>
      <c r="H3260">
        <v>129.19999999999999</v>
      </c>
      <c r="I3260">
        <v>132.4</v>
      </c>
      <c r="J3260">
        <v>100</v>
      </c>
      <c r="K3260">
        <v>100</v>
      </c>
      <c r="L3260" s="1" t="s">
        <v>7670</v>
      </c>
      <c r="M3260" t="s">
        <v>302</v>
      </c>
      <c r="N3260">
        <v>2</v>
      </c>
    </row>
    <row r="3261" spans="1:14" x14ac:dyDescent="0.25">
      <c r="A3261" s="3" t="str">
        <f>HYPERLINK("http://www.ncbi.nlm.nih.gov/gene/24148","24148")</f>
        <v>24148</v>
      </c>
      <c r="B3261" s="1" t="s">
        <v>7672</v>
      </c>
      <c r="C3261" t="s">
        <v>7673</v>
      </c>
      <c r="D3261">
        <v>118</v>
      </c>
      <c r="E3261">
        <v>123.4</v>
      </c>
      <c r="F3261">
        <v>100</v>
      </c>
      <c r="G3261">
        <v>99.8</v>
      </c>
      <c r="H3261">
        <v>132.6</v>
      </c>
      <c r="I3261">
        <v>136.4</v>
      </c>
      <c r="J3261">
        <v>100</v>
      </c>
      <c r="K3261">
        <v>100</v>
      </c>
      <c r="L3261" s="1" t="s">
        <v>7672</v>
      </c>
      <c r="M3261" t="s">
        <v>302</v>
      </c>
      <c r="N3261">
        <v>2</v>
      </c>
    </row>
    <row r="3262" spans="1:14" x14ac:dyDescent="0.25">
      <c r="A3262" s="3" t="str">
        <f>HYPERLINK("http://www.ncbi.nlm.nih.gov/gene/10594","10594")</f>
        <v>10594</v>
      </c>
      <c r="B3262" s="1" t="s">
        <v>7674</v>
      </c>
      <c r="C3262" t="s">
        <v>7675</v>
      </c>
      <c r="D3262">
        <v>119.5</v>
      </c>
      <c r="E3262">
        <v>122.4</v>
      </c>
      <c r="F3262">
        <v>100</v>
      </c>
      <c r="G3262">
        <v>99.3</v>
      </c>
      <c r="H3262">
        <v>199.3</v>
      </c>
      <c r="I3262">
        <v>205.4</v>
      </c>
      <c r="J3262">
        <v>100</v>
      </c>
      <c r="K3262">
        <v>100</v>
      </c>
      <c r="L3262" s="1" t="s">
        <v>7674</v>
      </c>
      <c r="M3262" t="s">
        <v>302</v>
      </c>
      <c r="N3262">
        <v>2</v>
      </c>
    </row>
    <row r="3263" spans="1:14" x14ac:dyDescent="0.25">
      <c r="A3263" s="3" t="str">
        <f>HYPERLINK("http://www.ncbi.nlm.nih.gov/gene/5961","5961")</f>
        <v>5961</v>
      </c>
      <c r="B3263" s="1" t="s">
        <v>7676</v>
      </c>
      <c r="C3263" t="s">
        <v>7677</v>
      </c>
      <c r="D3263">
        <v>223.9</v>
      </c>
      <c r="E3263">
        <v>242.9</v>
      </c>
      <c r="F3263">
        <v>100</v>
      </c>
      <c r="G3263">
        <v>100</v>
      </c>
      <c r="H3263">
        <v>145.80000000000001</v>
      </c>
      <c r="I3263">
        <v>148.1</v>
      </c>
      <c r="J3263">
        <v>100</v>
      </c>
      <c r="K3263">
        <v>100</v>
      </c>
      <c r="L3263" s="1" t="s">
        <v>7676</v>
      </c>
      <c r="M3263" t="s">
        <v>4071</v>
      </c>
      <c r="N3263">
        <v>2</v>
      </c>
    </row>
    <row r="3264" spans="1:14" x14ac:dyDescent="0.25">
      <c r="A3264" s="3" t="str">
        <f>HYPERLINK("http://www.ncbi.nlm.nih.gov/gene/5631","5631")</f>
        <v>5631</v>
      </c>
      <c r="B3264" s="1" t="s">
        <v>7678</v>
      </c>
      <c r="C3264" t="s">
        <v>7679</v>
      </c>
      <c r="D3264">
        <v>113.1</v>
      </c>
      <c r="E3264">
        <v>118.4</v>
      </c>
      <c r="F3264">
        <v>86.4</v>
      </c>
      <c r="G3264">
        <v>86.4</v>
      </c>
      <c r="H3264">
        <v>120.2</v>
      </c>
      <c r="I3264">
        <v>123.7</v>
      </c>
      <c r="J3264">
        <v>100</v>
      </c>
      <c r="K3264">
        <v>100</v>
      </c>
      <c r="L3264" s="1" t="s">
        <v>7678</v>
      </c>
      <c r="M3264" t="s">
        <v>7680</v>
      </c>
      <c r="N3264">
        <v>8</v>
      </c>
    </row>
    <row r="3265" spans="1:14" x14ac:dyDescent="0.25">
      <c r="A3265" s="3" t="str">
        <f>HYPERLINK("http://www.ncbi.nlm.nih.gov/gene/57479","57479")</f>
        <v>57479</v>
      </c>
      <c r="B3265" s="1" t="s">
        <v>7681</v>
      </c>
      <c r="C3265" t="s">
        <v>7682</v>
      </c>
      <c r="D3265">
        <v>143.6</v>
      </c>
      <c r="E3265">
        <v>126.3</v>
      </c>
      <c r="F3265">
        <v>98.7</v>
      </c>
      <c r="G3265">
        <v>97.2</v>
      </c>
      <c r="H3265">
        <v>149.9</v>
      </c>
      <c r="I3265">
        <v>150.69999999999999</v>
      </c>
      <c r="J3265">
        <v>100</v>
      </c>
      <c r="K3265">
        <v>100</v>
      </c>
      <c r="L3265" s="1" t="s">
        <v>7681</v>
      </c>
      <c r="M3265" t="s">
        <v>189</v>
      </c>
      <c r="N3265">
        <v>2</v>
      </c>
    </row>
    <row r="3266" spans="1:14" x14ac:dyDescent="0.25">
      <c r="A3266" s="3" t="str">
        <f>HYPERLINK("http://www.ncbi.nlm.nih.gov/gene/112476","112476")</f>
        <v>112476</v>
      </c>
      <c r="B3266" s="1" t="s">
        <v>7683</v>
      </c>
      <c r="C3266" t="s">
        <v>7684</v>
      </c>
      <c r="D3266">
        <v>116.6</v>
      </c>
      <c r="E3266">
        <v>122.5</v>
      </c>
      <c r="F3266">
        <v>100</v>
      </c>
      <c r="G3266">
        <v>99.6</v>
      </c>
      <c r="H3266">
        <v>178.4</v>
      </c>
      <c r="I3266">
        <v>180.1</v>
      </c>
      <c r="J3266">
        <v>100</v>
      </c>
      <c r="K3266">
        <v>100</v>
      </c>
      <c r="L3266" s="1" t="s">
        <v>7683</v>
      </c>
      <c r="M3266" t="s">
        <v>1374</v>
      </c>
      <c r="N3266">
        <v>3</v>
      </c>
    </row>
    <row r="3267" spans="1:14" x14ac:dyDescent="0.25">
      <c r="A3267" s="3" t="str">
        <f>HYPERLINK("http://www.ncbi.nlm.nih.gov/gene/5396","5396")</f>
        <v>5396</v>
      </c>
      <c r="B3267" s="1" t="s">
        <v>7685</v>
      </c>
      <c r="C3267" t="s">
        <v>7686</v>
      </c>
      <c r="D3267">
        <v>102.7</v>
      </c>
      <c r="E3267">
        <v>110</v>
      </c>
      <c r="F3267">
        <v>100</v>
      </c>
      <c r="G3267">
        <v>99.7</v>
      </c>
      <c r="H3267">
        <v>151.30000000000001</v>
      </c>
      <c r="I3267">
        <v>158.6</v>
      </c>
      <c r="J3267">
        <v>100</v>
      </c>
      <c r="K3267">
        <v>100</v>
      </c>
      <c r="L3267" s="1" t="s">
        <v>7685</v>
      </c>
      <c r="M3267" t="s">
        <v>7687</v>
      </c>
      <c r="N3267">
        <v>2</v>
      </c>
    </row>
    <row r="3268" spans="1:14" x14ac:dyDescent="0.25">
      <c r="A3268" s="3" t="str">
        <f>HYPERLINK("http://www.ncbi.nlm.nih.gov/gene/5644","5644")</f>
        <v>5644</v>
      </c>
      <c r="B3268" s="1" t="s">
        <v>7688</v>
      </c>
      <c r="C3268" t="s">
        <v>7689</v>
      </c>
      <c r="D3268">
        <v>176.7</v>
      </c>
      <c r="E3268">
        <v>181.1</v>
      </c>
      <c r="F3268">
        <v>100</v>
      </c>
      <c r="G3268">
        <v>100</v>
      </c>
      <c r="H3268">
        <v>279.39999999999998</v>
      </c>
      <c r="I3268">
        <v>293.7</v>
      </c>
      <c r="J3268">
        <v>100</v>
      </c>
      <c r="K3268">
        <v>100</v>
      </c>
      <c r="L3268" s="1" t="s">
        <v>7688</v>
      </c>
      <c r="M3268" t="s">
        <v>19</v>
      </c>
      <c r="N3268">
        <v>2</v>
      </c>
    </row>
    <row r="3269" spans="1:14" x14ac:dyDescent="0.25">
      <c r="A3269" s="3" t="str">
        <f>HYPERLINK("http://www.ncbi.nlm.nih.gov/gene/8492","8492")</f>
        <v>8492</v>
      </c>
      <c r="B3269" s="1" t="s">
        <v>7690</v>
      </c>
      <c r="C3269" t="s">
        <v>7691</v>
      </c>
      <c r="D3269">
        <v>153.80000000000001</v>
      </c>
      <c r="E3269">
        <v>160</v>
      </c>
      <c r="F3269">
        <v>100</v>
      </c>
      <c r="G3269">
        <v>99.9</v>
      </c>
      <c r="H3269">
        <v>154.30000000000001</v>
      </c>
      <c r="I3269">
        <v>158.6</v>
      </c>
      <c r="J3269">
        <v>100</v>
      </c>
      <c r="K3269">
        <v>100</v>
      </c>
      <c r="L3269" s="1" t="s">
        <v>7690</v>
      </c>
      <c r="M3269" t="s">
        <v>228</v>
      </c>
      <c r="N3269">
        <v>3</v>
      </c>
    </row>
    <row r="3270" spans="1:14" x14ac:dyDescent="0.25">
      <c r="A3270" s="3" t="str">
        <f>HYPERLINK("http://www.ncbi.nlm.nih.gov/gene/646960","646960")</f>
        <v>646960</v>
      </c>
      <c r="B3270" s="1" t="s">
        <v>7692</v>
      </c>
      <c r="C3270" t="s">
        <v>7693</v>
      </c>
      <c r="D3270">
        <v>78.400000000000006</v>
      </c>
      <c r="E3270">
        <v>77</v>
      </c>
      <c r="F3270">
        <v>99.9</v>
      </c>
      <c r="G3270">
        <v>96.5</v>
      </c>
      <c r="H3270">
        <v>157</v>
      </c>
      <c r="I3270">
        <v>160.5</v>
      </c>
      <c r="J3270">
        <v>100</v>
      </c>
      <c r="K3270">
        <v>100</v>
      </c>
      <c r="L3270" s="1" t="s">
        <v>7692</v>
      </c>
      <c r="M3270" t="s">
        <v>56</v>
      </c>
      <c r="N3270">
        <v>3</v>
      </c>
    </row>
    <row r="3271" spans="1:14" x14ac:dyDescent="0.25">
      <c r="A3271" s="3" t="str">
        <f>HYPERLINK("http://www.ncbi.nlm.nih.gov/gene/58497","58497")</f>
        <v>58497</v>
      </c>
      <c r="B3271" s="1" t="s">
        <v>7694</v>
      </c>
      <c r="C3271" t="s">
        <v>7695</v>
      </c>
      <c r="D3271">
        <v>134.9</v>
      </c>
      <c r="E3271">
        <v>139.69999999999999</v>
      </c>
      <c r="F3271">
        <v>93.6</v>
      </c>
      <c r="G3271">
        <v>93.5</v>
      </c>
      <c r="H3271">
        <v>129.1</v>
      </c>
      <c r="I3271">
        <v>132.4</v>
      </c>
      <c r="J3271">
        <v>93.6</v>
      </c>
      <c r="K3271">
        <v>93.6</v>
      </c>
      <c r="L3271" s="1" t="s">
        <v>7694</v>
      </c>
      <c r="M3271" t="s">
        <v>228</v>
      </c>
      <c r="N3271">
        <v>3</v>
      </c>
    </row>
    <row r="3272" spans="1:14" x14ac:dyDescent="0.25">
      <c r="A3272" s="3" t="str">
        <f>HYPERLINK("http://www.ncbi.nlm.nih.gov/gene/57716","57716")</f>
        <v>57716</v>
      </c>
      <c r="B3272" s="1" t="s">
        <v>7696</v>
      </c>
      <c r="C3272" t="s">
        <v>7697</v>
      </c>
      <c r="D3272">
        <v>156.30000000000001</v>
      </c>
      <c r="E3272">
        <v>142.80000000000001</v>
      </c>
      <c r="F3272">
        <v>96</v>
      </c>
      <c r="G3272">
        <v>95.5</v>
      </c>
      <c r="H3272">
        <v>172.8</v>
      </c>
      <c r="I3272">
        <v>170.4</v>
      </c>
      <c r="J3272">
        <v>96.5</v>
      </c>
      <c r="K3272">
        <v>96.1</v>
      </c>
      <c r="L3272" s="1" t="s">
        <v>7696</v>
      </c>
      <c r="M3272" t="s">
        <v>7698</v>
      </c>
      <c r="N3272">
        <v>3</v>
      </c>
    </row>
    <row r="3273" spans="1:14" x14ac:dyDescent="0.25">
      <c r="A3273" s="3" t="str">
        <f>HYPERLINK("http://www.ncbi.nlm.nih.gov/gene/5660","5660")</f>
        <v>5660</v>
      </c>
      <c r="B3273" s="1" t="s">
        <v>7699</v>
      </c>
      <c r="C3273" t="s">
        <v>7700</v>
      </c>
      <c r="D3273">
        <v>109.6</v>
      </c>
      <c r="E3273">
        <v>112.4</v>
      </c>
      <c r="F3273">
        <v>100</v>
      </c>
      <c r="G3273">
        <v>100</v>
      </c>
      <c r="H3273">
        <v>142.4</v>
      </c>
      <c r="I3273">
        <v>145.69999999999999</v>
      </c>
      <c r="J3273">
        <v>100</v>
      </c>
      <c r="K3273">
        <v>100</v>
      </c>
      <c r="L3273" s="1" t="s">
        <v>7699</v>
      </c>
      <c r="M3273" t="s">
        <v>7701</v>
      </c>
      <c r="N3273">
        <v>7</v>
      </c>
    </row>
    <row r="3274" spans="1:14" x14ac:dyDescent="0.25">
      <c r="A3274" s="3" t="str">
        <f>HYPERLINK("http://www.ncbi.nlm.nih.gov/gene/29968","29968")</f>
        <v>29968</v>
      </c>
      <c r="B3274" s="1" t="s">
        <v>7702</v>
      </c>
      <c r="C3274" t="s">
        <v>7703</v>
      </c>
      <c r="D3274">
        <v>52.2</v>
      </c>
      <c r="E3274">
        <v>52.6</v>
      </c>
      <c r="F3274">
        <v>95.3</v>
      </c>
      <c r="G3274">
        <v>81.599999999999994</v>
      </c>
      <c r="H3274">
        <v>140.30000000000001</v>
      </c>
      <c r="I3274">
        <v>144.6</v>
      </c>
      <c r="J3274">
        <v>100</v>
      </c>
      <c r="K3274">
        <v>100</v>
      </c>
      <c r="L3274" s="1" t="s">
        <v>7702</v>
      </c>
      <c r="M3274" t="s">
        <v>2660</v>
      </c>
      <c r="N3274">
        <v>6</v>
      </c>
    </row>
    <row r="3275" spans="1:14" x14ac:dyDescent="0.25">
      <c r="A3275" s="3" t="str">
        <f>HYPERLINK("http://www.ncbi.nlm.nih.gov/gene/5663","5663")</f>
        <v>5663</v>
      </c>
      <c r="B3275" s="1" t="s">
        <v>7704</v>
      </c>
      <c r="C3275" t="s">
        <v>7705</v>
      </c>
      <c r="D3275">
        <v>166.9</v>
      </c>
      <c r="E3275">
        <v>175</v>
      </c>
      <c r="F3275">
        <v>100</v>
      </c>
      <c r="G3275">
        <v>100</v>
      </c>
      <c r="H3275">
        <v>142</v>
      </c>
      <c r="I3275">
        <v>146.9</v>
      </c>
      <c r="J3275">
        <v>100</v>
      </c>
      <c r="K3275">
        <v>100</v>
      </c>
      <c r="L3275" s="1" t="s">
        <v>7704</v>
      </c>
      <c r="M3275" t="s">
        <v>7706</v>
      </c>
      <c r="N3275">
        <v>3</v>
      </c>
    </row>
    <row r="3276" spans="1:14" x14ac:dyDescent="0.25">
      <c r="A3276" s="3" t="str">
        <f>HYPERLINK("http://www.ncbi.nlm.nih.gov/gene/5664","5664")</f>
        <v>5664</v>
      </c>
      <c r="B3276" s="1" t="s">
        <v>7707</v>
      </c>
      <c r="C3276" t="s">
        <v>7708</v>
      </c>
      <c r="D3276">
        <v>118</v>
      </c>
      <c r="E3276">
        <v>122.8</v>
      </c>
      <c r="F3276">
        <v>100</v>
      </c>
      <c r="G3276">
        <v>100</v>
      </c>
      <c r="H3276">
        <v>135.4</v>
      </c>
      <c r="I3276">
        <v>139.6</v>
      </c>
      <c r="J3276">
        <v>100</v>
      </c>
      <c r="K3276">
        <v>100</v>
      </c>
      <c r="L3276" s="1" t="s">
        <v>7707</v>
      </c>
      <c r="M3276" t="s">
        <v>285</v>
      </c>
      <c r="N3276">
        <v>1</v>
      </c>
    </row>
    <row r="3277" spans="1:14" x14ac:dyDescent="0.25">
      <c r="A3277" s="3" t="str">
        <f>HYPERLINK("http://www.ncbi.nlm.nih.gov/gene/55851","55851")</f>
        <v>55851</v>
      </c>
      <c r="B3277" s="1" t="s">
        <v>7709</v>
      </c>
      <c r="C3277" t="s">
        <v>7710</v>
      </c>
      <c r="D3277">
        <v>109.7</v>
      </c>
      <c r="E3277">
        <v>103.3</v>
      </c>
      <c r="F3277">
        <v>100</v>
      </c>
      <c r="G3277">
        <v>100</v>
      </c>
      <c r="H3277">
        <v>141.69999999999999</v>
      </c>
      <c r="I3277">
        <v>146.30000000000001</v>
      </c>
      <c r="J3277">
        <v>100</v>
      </c>
      <c r="K3277">
        <v>100</v>
      </c>
      <c r="L3277" s="1" t="s">
        <v>7709</v>
      </c>
      <c r="M3277" t="s">
        <v>627</v>
      </c>
      <c r="N3277">
        <v>3</v>
      </c>
    </row>
    <row r="3278" spans="1:14" x14ac:dyDescent="0.25">
      <c r="A3278" s="3" t="str">
        <f>HYPERLINK("http://www.ncbi.nlm.nih.gov/gene/11168","11168")</f>
        <v>11168</v>
      </c>
      <c r="B3278" s="1" t="s">
        <v>7711</v>
      </c>
      <c r="C3278" t="s">
        <v>7712</v>
      </c>
      <c r="D3278">
        <v>86.7</v>
      </c>
      <c r="E3278">
        <v>88.4</v>
      </c>
      <c r="F3278">
        <v>98.8</v>
      </c>
      <c r="G3278">
        <v>93.5</v>
      </c>
      <c r="H3278">
        <v>130.4</v>
      </c>
      <c r="I3278">
        <v>133.6</v>
      </c>
      <c r="J3278">
        <v>100</v>
      </c>
      <c r="K3278">
        <v>100</v>
      </c>
      <c r="L3278" s="1" t="s">
        <v>7711</v>
      </c>
      <c r="M3278" t="s">
        <v>76</v>
      </c>
      <c r="N3278">
        <v>2</v>
      </c>
    </row>
    <row r="3279" spans="1:14" x14ac:dyDescent="0.25">
      <c r="A3279" s="3" t="str">
        <f>HYPERLINK("http://www.ncbi.nlm.nih.gov/gene/5684","5684")</f>
        <v>5684</v>
      </c>
      <c r="B3279" s="1" t="s">
        <v>7713</v>
      </c>
      <c r="C3279" t="s">
        <v>7714</v>
      </c>
      <c r="D3279">
        <v>86.8</v>
      </c>
      <c r="E3279">
        <v>87.4</v>
      </c>
      <c r="F3279">
        <v>99.8</v>
      </c>
      <c r="G3279">
        <v>97.2</v>
      </c>
      <c r="H3279">
        <v>114.8</v>
      </c>
      <c r="I3279">
        <v>116.7</v>
      </c>
      <c r="J3279">
        <v>100</v>
      </c>
      <c r="K3279">
        <v>100</v>
      </c>
      <c r="L3279" s="1" t="s">
        <v>7713</v>
      </c>
      <c r="M3279" t="s">
        <v>5591</v>
      </c>
      <c r="N3279">
        <v>2</v>
      </c>
    </row>
    <row r="3280" spans="1:14" x14ac:dyDescent="0.25">
      <c r="A3280" s="3" t="str">
        <f>HYPERLINK("http://www.ncbi.nlm.nih.gov/gene/5689","5689")</f>
        <v>5689</v>
      </c>
      <c r="B3280" s="1" t="s">
        <v>7715</v>
      </c>
      <c r="C3280" t="s">
        <v>7716</v>
      </c>
      <c r="D3280">
        <v>144.69999999999999</v>
      </c>
      <c r="E3280">
        <v>151.9</v>
      </c>
      <c r="F3280">
        <v>100</v>
      </c>
      <c r="G3280">
        <v>100</v>
      </c>
      <c r="H3280">
        <v>143</v>
      </c>
      <c r="I3280">
        <v>146.80000000000001</v>
      </c>
      <c r="J3280">
        <v>100</v>
      </c>
      <c r="K3280">
        <v>100</v>
      </c>
      <c r="L3280" s="1" t="s">
        <v>7715</v>
      </c>
      <c r="M3280" t="s">
        <v>1487</v>
      </c>
      <c r="N3280">
        <v>2</v>
      </c>
    </row>
    <row r="3281" spans="1:14" x14ac:dyDescent="0.25">
      <c r="A3281" s="3" t="str">
        <f>HYPERLINK("http://www.ncbi.nlm.nih.gov/gene/5692","5692")</f>
        <v>5692</v>
      </c>
      <c r="B3281" s="1" t="s">
        <v>7717</v>
      </c>
      <c r="C3281" t="s">
        <v>7718</v>
      </c>
      <c r="D3281">
        <v>125</v>
      </c>
      <c r="E3281">
        <v>127.4</v>
      </c>
      <c r="F3281">
        <v>100</v>
      </c>
      <c r="G3281">
        <v>100</v>
      </c>
      <c r="H3281">
        <v>137.6</v>
      </c>
      <c r="I3281">
        <v>141.4</v>
      </c>
      <c r="J3281">
        <v>100</v>
      </c>
      <c r="K3281">
        <v>100</v>
      </c>
      <c r="L3281" s="1" t="s">
        <v>7717</v>
      </c>
      <c r="M3281" t="s">
        <v>1097</v>
      </c>
      <c r="N3281">
        <v>3</v>
      </c>
    </row>
    <row r="3282" spans="1:14" x14ac:dyDescent="0.25">
      <c r="A3282" s="3" t="str">
        <f>HYPERLINK("http://www.ncbi.nlm.nih.gov/gene/5696","5696")</f>
        <v>5696</v>
      </c>
      <c r="B3282" s="1" t="s">
        <v>7719</v>
      </c>
      <c r="C3282" t="s">
        <v>7720</v>
      </c>
      <c r="D3282">
        <v>128.19999999999999</v>
      </c>
      <c r="E3282">
        <v>132.9</v>
      </c>
      <c r="F3282">
        <v>99.9</v>
      </c>
      <c r="G3282">
        <v>98.5</v>
      </c>
      <c r="H3282">
        <v>200.1</v>
      </c>
      <c r="I3282">
        <v>206.3</v>
      </c>
      <c r="J3282">
        <v>100</v>
      </c>
      <c r="K3282">
        <v>100</v>
      </c>
      <c r="L3282" s="1" t="s">
        <v>7719</v>
      </c>
      <c r="M3282" t="s">
        <v>225</v>
      </c>
      <c r="N3282">
        <v>4</v>
      </c>
    </row>
    <row r="3283" spans="1:14" x14ac:dyDescent="0.25">
      <c r="A3283" s="3" t="str">
        <f>HYPERLINK("http://www.ncbi.nlm.nih.gov/gene/5698","5698")</f>
        <v>5698</v>
      </c>
      <c r="B3283" s="1" t="s">
        <v>7721</v>
      </c>
      <c r="C3283" t="s">
        <v>7722</v>
      </c>
      <c r="D3283">
        <v>100.6</v>
      </c>
      <c r="E3283">
        <v>102.1</v>
      </c>
      <c r="F3283">
        <v>99.9</v>
      </c>
      <c r="G3283">
        <v>97.7</v>
      </c>
      <c r="H3283">
        <v>203</v>
      </c>
      <c r="I3283">
        <v>207.9</v>
      </c>
      <c r="J3283">
        <v>100</v>
      </c>
      <c r="K3283">
        <v>100</v>
      </c>
      <c r="L3283" s="1" t="s">
        <v>7721</v>
      </c>
      <c r="M3283" t="s">
        <v>1097</v>
      </c>
      <c r="N3283">
        <v>3</v>
      </c>
    </row>
    <row r="3284" spans="1:14" x14ac:dyDescent="0.25">
      <c r="A3284" s="3" t="str">
        <f>HYPERLINK("http://www.ncbi.nlm.nih.gov/gene/29893","29893")</f>
        <v>29893</v>
      </c>
      <c r="B3284" s="1" t="s">
        <v>7723</v>
      </c>
      <c r="C3284" t="s">
        <v>7724</v>
      </c>
      <c r="D3284">
        <v>114.5</v>
      </c>
      <c r="E3284">
        <v>116</v>
      </c>
      <c r="F3284">
        <v>100</v>
      </c>
      <c r="G3284">
        <v>100</v>
      </c>
      <c r="H3284">
        <v>129.1</v>
      </c>
      <c r="I3284">
        <v>130.69999999999999</v>
      </c>
      <c r="J3284">
        <v>100</v>
      </c>
      <c r="K3284">
        <v>100</v>
      </c>
      <c r="L3284" s="1" t="s">
        <v>7723</v>
      </c>
      <c r="M3284" t="s">
        <v>1472</v>
      </c>
      <c r="N3284">
        <v>3</v>
      </c>
    </row>
    <row r="3285" spans="1:14" x14ac:dyDescent="0.25">
      <c r="A3285" s="3" t="str">
        <f>HYPERLINK("http://www.ncbi.nlm.nih.gov/gene/5718","5718")</f>
        <v>5718</v>
      </c>
      <c r="B3285" s="1" t="s">
        <v>7725</v>
      </c>
      <c r="C3285" t="s">
        <v>7726</v>
      </c>
      <c r="D3285">
        <v>94.5</v>
      </c>
      <c r="E3285">
        <v>94.7</v>
      </c>
      <c r="F3285">
        <v>98.6</v>
      </c>
      <c r="G3285">
        <v>92.9</v>
      </c>
      <c r="H3285">
        <v>136.9</v>
      </c>
      <c r="I3285">
        <v>141</v>
      </c>
      <c r="J3285">
        <v>100</v>
      </c>
      <c r="K3285">
        <v>100</v>
      </c>
      <c r="L3285" s="1" t="s">
        <v>7725</v>
      </c>
      <c r="M3285" t="s">
        <v>189</v>
      </c>
      <c r="N3285">
        <v>2</v>
      </c>
    </row>
    <row r="3286" spans="1:14" x14ac:dyDescent="0.25">
      <c r="A3286" s="3" t="str">
        <f>HYPERLINK("http://www.ncbi.nlm.nih.gov/gene/56984","56984")</f>
        <v>56984</v>
      </c>
      <c r="B3286" s="1" t="s">
        <v>7727</v>
      </c>
      <c r="C3286" t="s">
        <v>7728</v>
      </c>
      <c r="D3286">
        <v>137.6</v>
      </c>
      <c r="E3286">
        <v>142</v>
      </c>
      <c r="F3286">
        <v>100</v>
      </c>
      <c r="G3286">
        <v>98.9</v>
      </c>
      <c r="H3286">
        <v>139.1</v>
      </c>
      <c r="I3286">
        <v>142.4</v>
      </c>
      <c r="J3286">
        <v>100</v>
      </c>
      <c r="K3286">
        <v>100</v>
      </c>
      <c r="L3286" s="1" t="s">
        <v>7727</v>
      </c>
      <c r="M3286" t="s">
        <v>502</v>
      </c>
      <c r="N3286">
        <v>2</v>
      </c>
    </row>
    <row r="3287" spans="1:14" x14ac:dyDescent="0.25">
      <c r="A3287" s="3" t="str">
        <f>HYPERLINK("http://www.ncbi.nlm.nih.gov/gene/5723","5723")</f>
        <v>5723</v>
      </c>
      <c r="B3287" s="1" t="s">
        <v>7729</v>
      </c>
      <c r="C3287" t="s">
        <v>7730</v>
      </c>
      <c r="D3287">
        <v>144.5</v>
      </c>
      <c r="E3287">
        <v>147.30000000000001</v>
      </c>
      <c r="F3287">
        <v>100</v>
      </c>
      <c r="G3287">
        <v>100</v>
      </c>
      <c r="H3287">
        <v>144.6</v>
      </c>
      <c r="I3287">
        <v>148.69999999999999</v>
      </c>
      <c r="J3287">
        <v>100</v>
      </c>
      <c r="K3287">
        <v>100</v>
      </c>
      <c r="L3287" s="1" t="s">
        <v>7729</v>
      </c>
      <c r="M3287" t="s">
        <v>38</v>
      </c>
      <c r="N3287">
        <v>4</v>
      </c>
    </row>
    <row r="3288" spans="1:14" x14ac:dyDescent="0.25">
      <c r="A3288" s="3" t="str">
        <f>HYPERLINK("http://www.ncbi.nlm.nih.gov/gene/9051","9051")</f>
        <v>9051</v>
      </c>
      <c r="B3288" s="1" t="s">
        <v>7731</v>
      </c>
      <c r="C3288" t="s">
        <v>7732</v>
      </c>
      <c r="D3288">
        <v>96.4</v>
      </c>
      <c r="E3288">
        <v>98.5</v>
      </c>
      <c r="F3288">
        <v>100</v>
      </c>
      <c r="G3288">
        <v>99.1</v>
      </c>
      <c r="H3288">
        <v>108.2</v>
      </c>
      <c r="I3288">
        <v>110.3</v>
      </c>
      <c r="J3288">
        <v>100</v>
      </c>
      <c r="K3288">
        <v>99.9</v>
      </c>
      <c r="L3288" s="1" t="s">
        <v>7731</v>
      </c>
      <c r="M3288" t="s">
        <v>627</v>
      </c>
      <c r="N3288">
        <v>3</v>
      </c>
    </row>
    <row r="3289" spans="1:14" x14ac:dyDescent="0.25">
      <c r="A3289" s="3" t="str">
        <f>HYPERLINK("http://www.ncbi.nlm.nih.gov/gene/55037","55037")</f>
        <v>55037</v>
      </c>
      <c r="B3289" s="1" t="s">
        <v>7733</v>
      </c>
      <c r="C3289" t="s">
        <v>7734</v>
      </c>
      <c r="D3289">
        <v>98.7</v>
      </c>
      <c r="E3289">
        <v>100.2</v>
      </c>
      <c r="F3289">
        <v>99.2</v>
      </c>
      <c r="G3289">
        <v>97.6</v>
      </c>
      <c r="H3289">
        <v>132.6</v>
      </c>
      <c r="I3289">
        <v>135.30000000000001</v>
      </c>
      <c r="J3289">
        <v>100</v>
      </c>
      <c r="K3289">
        <v>100</v>
      </c>
      <c r="L3289" s="1" t="s">
        <v>7733</v>
      </c>
      <c r="M3289" t="s">
        <v>265</v>
      </c>
      <c r="N3289">
        <v>2</v>
      </c>
    </row>
    <row r="3290" spans="1:14" x14ac:dyDescent="0.25">
      <c r="A3290" s="3" t="str">
        <f>HYPERLINK("http://www.ncbi.nlm.nih.gov/gene/5727","5727")</f>
        <v>5727</v>
      </c>
      <c r="B3290" s="1" t="s">
        <v>7735</v>
      </c>
      <c r="C3290" t="s">
        <v>7736</v>
      </c>
      <c r="D3290">
        <v>121.4</v>
      </c>
      <c r="E3290">
        <v>127.2</v>
      </c>
      <c r="F3290">
        <v>99.2</v>
      </c>
      <c r="G3290">
        <v>97.6</v>
      </c>
      <c r="H3290">
        <v>144.19999999999999</v>
      </c>
      <c r="I3290">
        <v>148.80000000000001</v>
      </c>
      <c r="J3290">
        <v>99.9</v>
      </c>
      <c r="K3290">
        <v>99.8</v>
      </c>
      <c r="L3290" s="1" t="s">
        <v>7735</v>
      </c>
      <c r="M3290" t="s">
        <v>7737</v>
      </c>
      <c r="N3290">
        <v>7</v>
      </c>
    </row>
    <row r="3291" spans="1:14" x14ac:dyDescent="0.25">
      <c r="A3291" s="3" t="str">
        <f>HYPERLINK("http://www.ncbi.nlm.nih.gov/gene/8643","8643")</f>
        <v>8643</v>
      </c>
      <c r="B3291" s="1" t="s">
        <v>7738</v>
      </c>
      <c r="C3291" t="s">
        <v>7739</v>
      </c>
      <c r="D3291">
        <v>116.7</v>
      </c>
      <c r="E3291">
        <v>118.2</v>
      </c>
      <c r="F3291">
        <v>99.9</v>
      </c>
      <c r="G3291">
        <v>99</v>
      </c>
      <c r="H3291">
        <v>147</v>
      </c>
      <c r="I3291">
        <v>150.4</v>
      </c>
      <c r="J3291">
        <v>100</v>
      </c>
      <c r="K3291">
        <v>100</v>
      </c>
      <c r="L3291" s="1" t="s">
        <v>7738</v>
      </c>
      <c r="M3291" t="s">
        <v>7740</v>
      </c>
      <c r="N3291">
        <v>5</v>
      </c>
    </row>
    <row r="3292" spans="1:14" x14ac:dyDescent="0.25">
      <c r="A3292" s="3" t="str">
        <f>HYPERLINK("http://www.ncbi.nlm.nih.gov/gene/139411","139411")</f>
        <v>139411</v>
      </c>
      <c r="B3292" s="1" t="s">
        <v>7741</v>
      </c>
      <c r="C3292" t="s">
        <v>7742</v>
      </c>
      <c r="D3292">
        <v>171.8</v>
      </c>
      <c r="E3292">
        <v>166.1</v>
      </c>
      <c r="F3292">
        <v>100</v>
      </c>
      <c r="G3292">
        <v>99.9</v>
      </c>
      <c r="H3292">
        <v>147.4</v>
      </c>
      <c r="I3292">
        <v>148.69999999999999</v>
      </c>
      <c r="J3292">
        <v>100</v>
      </c>
      <c r="K3292">
        <v>100</v>
      </c>
      <c r="L3292" s="1" t="s">
        <v>7741</v>
      </c>
      <c r="M3292" t="s">
        <v>728</v>
      </c>
      <c r="N3292">
        <v>2</v>
      </c>
    </row>
    <row r="3293" spans="1:14" x14ac:dyDescent="0.25">
      <c r="A3293" s="3" t="str">
        <f>HYPERLINK("http://www.ncbi.nlm.nih.gov/gene/9791","9791")</f>
        <v>9791</v>
      </c>
      <c r="B3293" s="1" t="s">
        <v>7743</v>
      </c>
      <c r="C3293" t="s">
        <v>7744</v>
      </c>
      <c r="D3293">
        <v>135.9</v>
      </c>
      <c r="E3293">
        <v>140.5</v>
      </c>
      <c r="F3293">
        <v>100</v>
      </c>
      <c r="G3293">
        <v>100</v>
      </c>
      <c r="H3293">
        <v>136.30000000000001</v>
      </c>
      <c r="I3293">
        <v>139.69999999999999</v>
      </c>
      <c r="J3293">
        <v>100</v>
      </c>
      <c r="K3293">
        <v>100</v>
      </c>
      <c r="L3293" s="1" t="s">
        <v>7743</v>
      </c>
      <c r="M3293" t="s">
        <v>7745</v>
      </c>
      <c r="N3293">
        <v>4</v>
      </c>
    </row>
    <row r="3294" spans="1:14" x14ac:dyDescent="0.25">
      <c r="A3294" s="3" t="str">
        <f>HYPERLINK("http://www.ncbi.nlm.nih.gov/gene/5728","5728")</f>
        <v>5728</v>
      </c>
      <c r="B3294" s="1" t="s">
        <v>7746</v>
      </c>
      <c r="C3294" t="s">
        <v>7747</v>
      </c>
      <c r="D3294">
        <v>161.4</v>
      </c>
      <c r="E3294">
        <v>166.6</v>
      </c>
      <c r="F3294">
        <v>99.5</v>
      </c>
      <c r="G3294">
        <v>97</v>
      </c>
      <c r="H3294">
        <v>121.5</v>
      </c>
      <c r="I3294">
        <v>125.6</v>
      </c>
      <c r="J3294">
        <v>100</v>
      </c>
      <c r="K3294">
        <v>100</v>
      </c>
      <c r="L3294" s="1" t="s">
        <v>7746</v>
      </c>
      <c r="M3294" t="s">
        <v>7748</v>
      </c>
      <c r="N3294">
        <v>7</v>
      </c>
    </row>
    <row r="3295" spans="1:14" x14ac:dyDescent="0.25">
      <c r="A3295" s="3" t="str">
        <f>HYPERLINK("http://www.ncbi.nlm.nih.gov/gene/256297","256297")</f>
        <v>256297</v>
      </c>
      <c r="B3295" s="1" t="s">
        <v>7749</v>
      </c>
      <c r="C3295" t="s">
        <v>7750</v>
      </c>
      <c r="D3295">
        <v>110</v>
      </c>
      <c r="E3295">
        <v>87</v>
      </c>
      <c r="F3295">
        <v>95.8</v>
      </c>
      <c r="G3295">
        <v>85.6</v>
      </c>
      <c r="H3295">
        <v>100.2</v>
      </c>
      <c r="I3295">
        <v>96</v>
      </c>
      <c r="J3295">
        <v>98.6</v>
      </c>
      <c r="K3295">
        <v>93.3</v>
      </c>
      <c r="L3295" s="1" t="s">
        <v>7749</v>
      </c>
      <c r="M3295" t="s">
        <v>228</v>
      </c>
      <c r="N3295">
        <v>3</v>
      </c>
    </row>
    <row r="3296" spans="1:14" x14ac:dyDescent="0.25">
      <c r="A3296" s="3" t="str">
        <f>HYPERLINK("http://www.ncbi.nlm.nih.gov/gene/5740","5740")</f>
        <v>5740</v>
      </c>
      <c r="B3296" s="1" t="s">
        <v>7751</v>
      </c>
      <c r="C3296" t="s">
        <v>7752</v>
      </c>
      <c r="D3296">
        <v>117.5</v>
      </c>
      <c r="E3296">
        <v>125.5</v>
      </c>
      <c r="F3296">
        <v>98.2</v>
      </c>
      <c r="G3296">
        <v>95.1</v>
      </c>
      <c r="H3296">
        <v>141.1</v>
      </c>
      <c r="I3296">
        <v>145.4</v>
      </c>
      <c r="J3296">
        <v>100</v>
      </c>
      <c r="K3296">
        <v>100</v>
      </c>
      <c r="L3296" s="1" t="s">
        <v>7751</v>
      </c>
      <c r="M3296" t="s">
        <v>1275</v>
      </c>
      <c r="N3296">
        <v>2</v>
      </c>
    </row>
    <row r="3297" spans="1:14" x14ac:dyDescent="0.25">
      <c r="A3297" s="3" t="str">
        <f>HYPERLINK("http://www.ncbi.nlm.nih.gov/gene/5742","5742")</f>
        <v>5742</v>
      </c>
      <c r="B3297" s="1" t="s">
        <v>7753</v>
      </c>
      <c r="C3297" t="s">
        <v>7754</v>
      </c>
      <c r="D3297">
        <v>148.69999999999999</v>
      </c>
      <c r="E3297">
        <v>151.6</v>
      </c>
      <c r="F3297">
        <v>100</v>
      </c>
      <c r="G3297">
        <v>99.8</v>
      </c>
      <c r="H3297">
        <v>147.1</v>
      </c>
      <c r="I3297">
        <v>151</v>
      </c>
      <c r="J3297">
        <v>100</v>
      </c>
      <c r="K3297">
        <v>100</v>
      </c>
      <c r="L3297" s="1" t="s">
        <v>7753</v>
      </c>
      <c r="M3297" t="s">
        <v>16</v>
      </c>
      <c r="N3297">
        <v>2</v>
      </c>
    </row>
    <row r="3298" spans="1:14" x14ac:dyDescent="0.25">
      <c r="A3298" s="3" t="str">
        <f>HYPERLINK("http://www.ncbi.nlm.nih.gov/gene/5741","5741")</f>
        <v>5741</v>
      </c>
      <c r="B3298" s="1" t="s">
        <v>7755</v>
      </c>
      <c r="C3298" t="s">
        <v>7756</v>
      </c>
      <c r="D3298">
        <v>110.8</v>
      </c>
      <c r="E3298">
        <v>110.2</v>
      </c>
      <c r="F3298">
        <v>99.7</v>
      </c>
      <c r="G3298">
        <v>97</v>
      </c>
      <c r="H3298">
        <v>163.5</v>
      </c>
      <c r="I3298">
        <v>169.9</v>
      </c>
      <c r="J3298">
        <v>100</v>
      </c>
      <c r="K3298">
        <v>100</v>
      </c>
      <c r="L3298" s="1" t="s">
        <v>7755</v>
      </c>
      <c r="M3298" t="s">
        <v>4557</v>
      </c>
      <c r="N3298">
        <v>1</v>
      </c>
    </row>
    <row r="3299" spans="1:14" x14ac:dyDescent="0.25">
      <c r="A3299" s="3" t="str">
        <f>HYPERLINK("http://www.ncbi.nlm.nih.gov/gene/5745","5745")</f>
        <v>5745</v>
      </c>
      <c r="B3299" s="1" t="s">
        <v>7757</v>
      </c>
      <c r="C3299" t="s">
        <v>7758</v>
      </c>
      <c r="D3299">
        <v>103.9</v>
      </c>
      <c r="E3299">
        <v>104.5</v>
      </c>
      <c r="F3299">
        <v>100</v>
      </c>
      <c r="G3299">
        <v>98.7</v>
      </c>
      <c r="H3299">
        <v>148.6</v>
      </c>
      <c r="I3299">
        <v>152.1</v>
      </c>
      <c r="J3299">
        <v>100</v>
      </c>
      <c r="K3299">
        <v>100</v>
      </c>
      <c r="L3299" s="1" t="s">
        <v>7757</v>
      </c>
      <c r="M3299" t="s">
        <v>7759</v>
      </c>
      <c r="N3299">
        <v>5</v>
      </c>
    </row>
    <row r="3300" spans="1:14" x14ac:dyDescent="0.25">
      <c r="A3300" s="3" t="str">
        <f>HYPERLINK("http://www.ncbi.nlm.nih.gov/gene/5744","5744")</f>
        <v>5744</v>
      </c>
      <c r="B3300" s="1" t="s">
        <v>7760</v>
      </c>
      <c r="C3300" t="s">
        <v>7761</v>
      </c>
      <c r="D3300">
        <v>178.2</v>
      </c>
      <c r="E3300">
        <v>186.8</v>
      </c>
      <c r="F3300">
        <v>99.7</v>
      </c>
      <c r="G3300">
        <v>98.4</v>
      </c>
      <c r="H3300">
        <v>139.19999999999999</v>
      </c>
      <c r="I3300">
        <v>139.30000000000001</v>
      </c>
      <c r="J3300">
        <v>100</v>
      </c>
      <c r="K3300">
        <v>100</v>
      </c>
      <c r="L3300" s="1" t="s">
        <v>7760</v>
      </c>
      <c r="M3300" t="s">
        <v>5371</v>
      </c>
      <c r="N3300">
        <v>3</v>
      </c>
    </row>
    <row r="3301" spans="1:14" x14ac:dyDescent="0.25">
      <c r="A3301" s="3" t="str">
        <f>HYPERLINK("http://www.ncbi.nlm.nih.gov/gene/5781","5781")</f>
        <v>5781</v>
      </c>
      <c r="B3301" s="1" t="s">
        <v>7762</v>
      </c>
      <c r="C3301" t="s">
        <v>7763</v>
      </c>
      <c r="D3301">
        <v>102</v>
      </c>
      <c r="E3301">
        <v>100.3</v>
      </c>
      <c r="F3301">
        <v>99.1</v>
      </c>
      <c r="G3301">
        <v>93.7</v>
      </c>
      <c r="H3301">
        <v>133.1</v>
      </c>
      <c r="I3301">
        <v>136.9</v>
      </c>
      <c r="J3301">
        <v>100</v>
      </c>
      <c r="K3301">
        <v>100</v>
      </c>
      <c r="L3301" s="1" t="s">
        <v>7762</v>
      </c>
      <c r="M3301" t="s">
        <v>7764</v>
      </c>
      <c r="N3301">
        <v>12</v>
      </c>
    </row>
    <row r="3302" spans="1:14" x14ac:dyDescent="0.25">
      <c r="A3302" s="3" t="str">
        <f>HYPERLINK("http://www.ncbi.nlm.nih.gov/gene/5782","5782")</f>
        <v>5782</v>
      </c>
      <c r="B3302" s="1" t="s">
        <v>7765</v>
      </c>
      <c r="C3302" t="s">
        <v>7766</v>
      </c>
      <c r="D3302">
        <v>170.3</v>
      </c>
      <c r="E3302">
        <v>169.3</v>
      </c>
      <c r="F3302">
        <v>99.1</v>
      </c>
      <c r="G3302">
        <v>96.8</v>
      </c>
      <c r="H3302">
        <v>125.6</v>
      </c>
      <c r="I3302">
        <v>127.5</v>
      </c>
      <c r="J3302">
        <v>100</v>
      </c>
      <c r="K3302">
        <v>100</v>
      </c>
      <c r="L3302" s="1" t="s">
        <v>7765</v>
      </c>
      <c r="M3302" t="s">
        <v>22</v>
      </c>
      <c r="N3302">
        <v>1</v>
      </c>
    </row>
    <row r="3303" spans="1:14" x14ac:dyDescent="0.25">
      <c r="A3303" s="3" t="str">
        <f>HYPERLINK("http://www.ncbi.nlm.nih.gov/gene/5784","5784")</f>
        <v>5784</v>
      </c>
      <c r="B3303" s="1" t="s">
        <v>7767</v>
      </c>
      <c r="C3303" t="s">
        <v>7768</v>
      </c>
      <c r="D3303">
        <v>158.80000000000001</v>
      </c>
      <c r="E3303">
        <v>158.30000000000001</v>
      </c>
      <c r="F3303">
        <v>99.7</v>
      </c>
      <c r="G3303">
        <v>97.4</v>
      </c>
      <c r="H3303">
        <v>153.1</v>
      </c>
      <c r="I3303">
        <v>155.69999999999999</v>
      </c>
      <c r="J3303">
        <v>100</v>
      </c>
      <c r="K3303">
        <v>100</v>
      </c>
      <c r="L3303" s="1" t="s">
        <v>7767</v>
      </c>
      <c r="M3303" t="s">
        <v>246</v>
      </c>
      <c r="N3303">
        <v>3</v>
      </c>
    </row>
    <row r="3304" spans="1:14" x14ac:dyDescent="0.25">
      <c r="A3304" s="3" t="str">
        <f>HYPERLINK("http://www.ncbi.nlm.nih.gov/gene/26191","26191")</f>
        <v>26191</v>
      </c>
      <c r="B3304" s="1" t="s">
        <v>7769</v>
      </c>
      <c r="C3304" t="s">
        <v>7770</v>
      </c>
      <c r="D3304">
        <v>148.1</v>
      </c>
      <c r="E3304">
        <v>148.30000000000001</v>
      </c>
      <c r="F3304">
        <v>99.5</v>
      </c>
      <c r="G3304">
        <v>97.1</v>
      </c>
      <c r="H3304">
        <v>133.80000000000001</v>
      </c>
      <c r="I3304">
        <v>134.9</v>
      </c>
      <c r="J3304">
        <v>100</v>
      </c>
      <c r="K3304">
        <v>100</v>
      </c>
      <c r="L3304" s="1" t="s">
        <v>7769</v>
      </c>
      <c r="M3304" t="s">
        <v>2831</v>
      </c>
      <c r="N3304">
        <v>3</v>
      </c>
    </row>
    <row r="3305" spans="1:14" x14ac:dyDescent="0.25">
      <c r="A3305" s="3" t="str">
        <f>HYPERLINK("http://www.ncbi.nlm.nih.gov/gene/25930","25930")</f>
        <v>25930</v>
      </c>
      <c r="B3305" s="1" t="s">
        <v>7771</v>
      </c>
      <c r="C3305" t="s">
        <v>7772</v>
      </c>
      <c r="D3305">
        <v>152.69999999999999</v>
      </c>
      <c r="E3305">
        <v>150.80000000000001</v>
      </c>
      <c r="F3305">
        <v>100</v>
      </c>
      <c r="G3305">
        <v>100</v>
      </c>
      <c r="H3305">
        <v>155.4</v>
      </c>
      <c r="I3305">
        <v>158.4</v>
      </c>
      <c r="J3305">
        <v>100</v>
      </c>
      <c r="K3305">
        <v>100</v>
      </c>
      <c r="L3305" s="1" t="s">
        <v>7771</v>
      </c>
      <c r="M3305" t="s">
        <v>50</v>
      </c>
      <c r="N3305">
        <v>2</v>
      </c>
    </row>
    <row r="3306" spans="1:14" x14ac:dyDescent="0.25">
      <c r="A3306" s="3" t="str">
        <f>HYPERLINK("http://www.ncbi.nlm.nih.gov/gene/5788","5788")</f>
        <v>5788</v>
      </c>
      <c r="B3306" s="1" t="s">
        <v>7773</v>
      </c>
      <c r="C3306" t="s">
        <v>7774</v>
      </c>
      <c r="D3306">
        <v>117.5</v>
      </c>
      <c r="E3306">
        <v>122.1</v>
      </c>
      <c r="F3306">
        <v>99</v>
      </c>
      <c r="G3306">
        <v>95.1</v>
      </c>
      <c r="H3306">
        <v>141</v>
      </c>
      <c r="I3306">
        <v>145.4</v>
      </c>
      <c r="J3306">
        <v>100</v>
      </c>
      <c r="K3306">
        <v>100</v>
      </c>
      <c r="L3306" s="1" t="s">
        <v>7773</v>
      </c>
      <c r="M3306" t="s">
        <v>1551</v>
      </c>
      <c r="N3306">
        <v>4</v>
      </c>
    </row>
    <row r="3307" spans="1:14" x14ac:dyDescent="0.25">
      <c r="A3307" s="3" t="str">
        <f>HYPERLINK("http://www.ncbi.nlm.nih.gov/gene/5792","5792")</f>
        <v>5792</v>
      </c>
      <c r="B3307" s="1" t="s">
        <v>7775</v>
      </c>
      <c r="C3307" t="s">
        <v>7776</v>
      </c>
      <c r="D3307">
        <v>156.1</v>
      </c>
      <c r="E3307">
        <v>161.30000000000001</v>
      </c>
      <c r="F3307">
        <v>100</v>
      </c>
      <c r="G3307">
        <v>99.7</v>
      </c>
      <c r="H3307">
        <v>151.30000000000001</v>
      </c>
      <c r="I3307">
        <v>155.4</v>
      </c>
      <c r="J3307">
        <v>100</v>
      </c>
      <c r="K3307">
        <v>100</v>
      </c>
      <c r="L3307" s="1" t="s">
        <v>7775</v>
      </c>
      <c r="M3307" t="s">
        <v>47</v>
      </c>
      <c r="N3307">
        <v>2</v>
      </c>
    </row>
    <row r="3308" spans="1:14" x14ac:dyDescent="0.25">
      <c r="A3308" s="3" t="str">
        <f>HYPERLINK("http://www.ncbi.nlm.nih.gov/gene/5795","5795")</f>
        <v>5795</v>
      </c>
      <c r="B3308" s="1" t="s">
        <v>7777</v>
      </c>
      <c r="C3308" t="s">
        <v>7778</v>
      </c>
      <c r="D3308">
        <v>158.69999999999999</v>
      </c>
      <c r="E3308">
        <v>168.3</v>
      </c>
      <c r="F3308">
        <v>97.7</v>
      </c>
      <c r="G3308">
        <v>97.2</v>
      </c>
      <c r="H3308">
        <v>141.69999999999999</v>
      </c>
      <c r="I3308">
        <v>146.30000000000001</v>
      </c>
      <c r="J3308">
        <v>99.9</v>
      </c>
      <c r="K3308">
        <v>99.6</v>
      </c>
      <c r="L3308" s="1" t="s">
        <v>7777</v>
      </c>
      <c r="M3308" t="s">
        <v>7779</v>
      </c>
      <c r="N3308">
        <v>2</v>
      </c>
    </row>
    <row r="3309" spans="1:14" x14ac:dyDescent="0.25">
      <c r="A3309" s="3" t="str">
        <f>HYPERLINK("http://www.ncbi.nlm.nih.gov/gene/5800","5800")</f>
        <v>5800</v>
      </c>
      <c r="B3309" s="1" t="s">
        <v>7780</v>
      </c>
      <c r="C3309" t="s">
        <v>7781</v>
      </c>
      <c r="D3309">
        <v>144.30000000000001</v>
      </c>
      <c r="E3309">
        <v>152.69999999999999</v>
      </c>
      <c r="F3309">
        <v>99.9</v>
      </c>
      <c r="G3309">
        <v>99.4</v>
      </c>
      <c r="H3309">
        <v>138.80000000000001</v>
      </c>
      <c r="I3309">
        <v>142.9</v>
      </c>
      <c r="J3309">
        <v>100</v>
      </c>
      <c r="K3309">
        <v>100</v>
      </c>
      <c r="L3309" s="1" t="s">
        <v>7780</v>
      </c>
      <c r="M3309" t="s">
        <v>357</v>
      </c>
      <c r="N3309">
        <v>3</v>
      </c>
    </row>
    <row r="3310" spans="1:14" x14ac:dyDescent="0.25">
      <c r="A3310" s="3" t="str">
        <f>HYPERLINK("http://www.ncbi.nlm.nih.gov/gene/374462","374462")</f>
        <v>374462</v>
      </c>
      <c r="B3310" s="1" t="s">
        <v>7782</v>
      </c>
      <c r="C3310" t="s">
        <v>7783</v>
      </c>
      <c r="D3310">
        <v>119.2</v>
      </c>
      <c r="E3310">
        <v>122.9</v>
      </c>
      <c r="F3310">
        <v>94.6</v>
      </c>
      <c r="G3310">
        <v>92.5</v>
      </c>
      <c r="H3310">
        <v>115.6</v>
      </c>
      <c r="I3310">
        <v>118.9</v>
      </c>
      <c r="J3310">
        <v>92.8</v>
      </c>
      <c r="K3310">
        <v>92.7</v>
      </c>
      <c r="L3310" s="1" t="s">
        <v>7782</v>
      </c>
      <c r="M3310" t="s">
        <v>3256</v>
      </c>
      <c r="N3310">
        <v>3</v>
      </c>
    </row>
    <row r="3311" spans="1:14" x14ac:dyDescent="0.25">
      <c r="A3311" s="3" t="str">
        <f>HYPERLINK("http://www.ncbi.nlm.nih.gov/gene/51651","51651")</f>
        <v>51651</v>
      </c>
      <c r="B3311" s="1" t="s">
        <v>7784</v>
      </c>
      <c r="C3311" t="s">
        <v>7785</v>
      </c>
      <c r="D3311">
        <v>248.4</v>
      </c>
      <c r="E3311">
        <v>259</v>
      </c>
      <c r="F3311">
        <v>100</v>
      </c>
      <c r="G3311">
        <v>100</v>
      </c>
      <c r="H3311">
        <v>164</v>
      </c>
      <c r="I3311">
        <v>167.8</v>
      </c>
      <c r="J3311">
        <v>100</v>
      </c>
      <c r="K3311">
        <v>100</v>
      </c>
      <c r="L3311" s="1" t="s">
        <v>7784</v>
      </c>
      <c r="M3311" t="s">
        <v>7786</v>
      </c>
      <c r="N3311">
        <v>9</v>
      </c>
    </row>
    <row r="3312" spans="1:14" x14ac:dyDescent="0.25">
      <c r="A3312" s="3" t="str">
        <f>HYPERLINK("http://www.ncbi.nlm.nih.gov/gene/391356","391356")</f>
        <v>391356</v>
      </c>
      <c r="B3312" s="1" t="s">
        <v>7787</v>
      </c>
      <c r="C3312" t="s">
        <v>7788</v>
      </c>
      <c r="D3312">
        <v>157.80000000000001</v>
      </c>
      <c r="E3312">
        <v>170.7</v>
      </c>
      <c r="F3312">
        <v>100</v>
      </c>
      <c r="G3312">
        <v>100</v>
      </c>
      <c r="H3312">
        <v>158</v>
      </c>
      <c r="I3312">
        <v>160.9</v>
      </c>
      <c r="J3312">
        <v>100</v>
      </c>
      <c r="K3312">
        <v>100</v>
      </c>
      <c r="L3312" s="1" t="s">
        <v>7787</v>
      </c>
      <c r="M3312" t="s">
        <v>50</v>
      </c>
      <c r="N3312">
        <v>2</v>
      </c>
    </row>
    <row r="3313" spans="1:14" x14ac:dyDescent="0.25">
      <c r="A3313" s="3" t="str">
        <f>HYPERLINK("http://www.ncbi.nlm.nih.gov/gene/5805","5805")</f>
        <v>5805</v>
      </c>
      <c r="B3313" s="1" t="s">
        <v>7789</v>
      </c>
      <c r="C3313" t="s">
        <v>7790</v>
      </c>
      <c r="D3313">
        <v>117.3</v>
      </c>
      <c r="E3313">
        <v>118.8</v>
      </c>
      <c r="F3313">
        <v>99.9</v>
      </c>
      <c r="G3313">
        <v>99.1</v>
      </c>
      <c r="H3313">
        <v>125</v>
      </c>
      <c r="I3313">
        <v>126.9</v>
      </c>
      <c r="J3313">
        <v>100</v>
      </c>
      <c r="K3313">
        <v>100</v>
      </c>
      <c r="L3313" s="1" t="s">
        <v>7789</v>
      </c>
      <c r="M3313" t="s">
        <v>449</v>
      </c>
      <c r="N3313">
        <v>6</v>
      </c>
    </row>
    <row r="3314" spans="1:14" x14ac:dyDescent="0.25">
      <c r="A3314" s="3" t="str">
        <f>HYPERLINK("http://www.ncbi.nlm.nih.gov/gene/22827","22827")</f>
        <v>22827</v>
      </c>
      <c r="B3314" s="1" t="s">
        <v>7791</v>
      </c>
      <c r="C3314" t="s">
        <v>7792</v>
      </c>
      <c r="D3314">
        <v>177.3</v>
      </c>
      <c r="E3314">
        <v>184.4</v>
      </c>
      <c r="F3314">
        <v>100</v>
      </c>
      <c r="G3314">
        <v>99.3</v>
      </c>
      <c r="H3314">
        <v>200.1</v>
      </c>
      <c r="I3314">
        <v>205.4</v>
      </c>
      <c r="J3314">
        <v>100</v>
      </c>
      <c r="K3314">
        <v>100</v>
      </c>
      <c r="L3314" s="1" t="s">
        <v>7791</v>
      </c>
      <c r="M3314" t="s">
        <v>189</v>
      </c>
      <c r="N3314">
        <v>2</v>
      </c>
    </row>
    <row r="3315" spans="1:14" x14ac:dyDescent="0.25">
      <c r="A3315" s="3" t="str">
        <f>HYPERLINK("http://www.ncbi.nlm.nih.gov/gene/9698","9698")</f>
        <v>9698</v>
      </c>
      <c r="B3315" s="1" t="s">
        <v>7793</v>
      </c>
      <c r="C3315" t="s">
        <v>7794</v>
      </c>
      <c r="D3315">
        <v>144.19999999999999</v>
      </c>
      <c r="E3315">
        <v>148.19999999999999</v>
      </c>
      <c r="F3315">
        <v>100</v>
      </c>
      <c r="G3315">
        <v>99.9</v>
      </c>
      <c r="H3315">
        <v>139.4</v>
      </c>
      <c r="I3315">
        <v>143.30000000000001</v>
      </c>
      <c r="J3315">
        <v>100</v>
      </c>
      <c r="K3315">
        <v>100</v>
      </c>
      <c r="L3315" s="1" t="s">
        <v>7793</v>
      </c>
      <c r="M3315" t="s">
        <v>877</v>
      </c>
      <c r="N3315">
        <v>4</v>
      </c>
    </row>
    <row r="3316" spans="1:14" x14ac:dyDescent="0.25">
      <c r="A3316" s="3" t="str">
        <f>HYPERLINK("http://www.ncbi.nlm.nih.gov/gene/5813","5813")</f>
        <v>5813</v>
      </c>
      <c r="B3316" s="1" t="s">
        <v>7795</v>
      </c>
      <c r="C3316" t="s">
        <v>7796</v>
      </c>
      <c r="D3316">
        <v>150.9</v>
      </c>
      <c r="E3316">
        <v>147</v>
      </c>
      <c r="F3316">
        <v>99</v>
      </c>
      <c r="G3316">
        <v>95.2</v>
      </c>
      <c r="H3316">
        <v>117.2</v>
      </c>
      <c r="I3316">
        <v>124.5</v>
      </c>
      <c r="J3316">
        <v>100</v>
      </c>
      <c r="K3316">
        <v>99.8</v>
      </c>
      <c r="L3316" s="1" t="s">
        <v>7795</v>
      </c>
      <c r="M3316" t="s">
        <v>995</v>
      </c>
      <c r="N3316">
        <v>3</v>
      </c>
    </row>
    <row r="3317" spans="1:14" x14ac:dyDescent="0.25">
      <c r="A3317" s="3" t="str">
        <f>HYPERLINK("http://www.ncbi.nlm.nih.gov/gene/80324","80324")</f>
        <v>80324</v>
      </c>
      <c r="B3317" s="1" t="s">
        <v>7797</v>
      </c>
      <c r="C3317" t="s">
        <v>7798</v>
      </c>
      <c r="D3317">
        <v>123.7</v>
      </c>
      <c r="E3317">
        <v>118</v>
      </c>
      <c r="F3317">
        <v>100</v>
      </c>
      <c r="G3317">
        <v>99.5</v>
      </c>
      <c r="H3317">
        <v>123.4</v>
      </c>
      <c r="I3317">
        <v>127.9</v>
      </c>
      <c r="J3317">
        <v>99.6</v>
      </c>
      <c r="K3317">
        <v>97.2</v>
      </c>
      <c r="L3317" s="1" t="s">
        <v>7797</v>
      </c>
      <c r="M3317" t="s">
        <v>7799</v>
      </c>
      <c r="N3317">
        <v>5</v>
      </c>
    </row>
    <row r="3318" spans="1:14" x14ac:dyDescent="0.25">
      <c r="A3318" s="3" t="str">
        <f>HYPERLINK("http://www.ncbi.nlm.nih.gov/gene/83480","83480")</f>
        <v>83480</v>
      </c>
      <c r="B3318" s="1" t="s">
        <v>7800</v>
      </c>
      <c r="C3318" t="s">
        <v>7801</v>
      </c>
      <c r="D3318">
        <v>194.7</v>
      </c>
      <c r="E3318">
        <v>192.1</v>
      </c>
      <c r="F3318">
        <v>100</v>
      </c>
      <c r="G3318">
        <v>100</v>
      </c>
      <c r="H3318">
        <v>170.6</v>
      </c>
      <c r="I3318">
        <v>177.7</v>
      </c>
      <c r="J3318">
        <v>100</v>
      </c>
      <c r="K3318">
        <v>100</v>
      </c>
      <c r="L3318" s="1" t="s">
        <v>7800</v>
      </c>
      <c r="M3318" t="s">
        <v>38</v>
      </c>
      <c r="N3318">
        <v>4</v>
      </c>
    </row>
    <row r="3319" spans="1:14" x14ac:dyDescent="0.25">
      <c r="A3319" s="3" t="str">
        <f>HYPERLINK("http://www.ncbi.nlm.nih.gov/gene/54517","54517")</f>
        <v>54517</v>
      </c>
      <c r="B3319" s="1" t="s">
        <v>7802</v>
      </c>
      <c r="C3319" t="s">
        <v>7803</v>
      </c>
      <c r="D3319">
        <v>170.9</v>
      </c>
      <c r="E3319">
        <v>177</v>
      </c>
      <c r="F3319">
        <v>100</v>
      </c>
      <c r="G3319">
        <v>99.8</v>
      </c>
      <c r="H3319">
        <v>132</v>
      </c>
      <c r="I3319">
        <v>135.30000000000001</v>
      </c>
      <c r="J3319">
        <v>100</v>
      </c>
      <c r="K3319">
        <v>100</v>
      </c>
      <c r="L3319" s="1" t="s">
        <v>7802</v>
      </c>
      <c r="M3319" t="s">
        <v>228</v>
      </c>
      <c r="N3319">
        <v>3</v>
      </c>
    </row>
    <row r="3320" spans="1:14" x14ac:dyDescent="0.25">
      <c r="A3320" s="3" t="str">
        <f>HYPERLINK("http://www.ncbi.nlm.nih.gov/gene/7837","7837")</f>
        <v>7837</v>
      </c>
      <c r="B3320" s="1" t="s">
        <v>7804</v>
      </c>
      <c r="C3320" t="s">
        <v>7805</v>
      </c>
      <c r="D3320">
        <v>147.69999999999999</v>
      </c>
      <c r="E3320">
        <v>150.6</v>
      </c>
      <c r="F3320">
        <v>100</v>
      </c>
      <c r="G3320">
        <v>99.6</v>
      </c>
      <c r="H3320">
        <v>152.80000000000001</v>
      </c>
      <c r="I3320">
        <v>156.4</v>
      </c>
      <c r="J3320">
        <v>100</v>
      </c>
      <c r="K3320">
        <v>100</v>
      </c>
      <c r="L3320" s="1" t="s">
        <v>7804</v>
      </c>
      <c r="M3320" t="s">
        <v>56</v>
      </c>
      <c r="N3320">
        <v>3</v>
      </c>
    </row>
    <row r="3321" spans="1:14" x14ac:dyDescent="0.25">
      <c r="A3321" s="3" t="str">
        <f>HYPERLINK("http://www.ncbi.nlm.nih.gov/gene/5831","5831")</f>
        <v>5831</v>
      </c>
      <c r="B3321" s="1" t="s">
        <v>7806</v>
      </c>
      <c r="C3321" t="s">
        <v>7807</v>
      </c>
      <c r="D3321">
        <v>90.4</v>
      </c>
      <c r="E3321">
        <v>94.2</v>
      </c>
      <c r="F3321">
        <v>99.9</v>
      </c>
      <c r="G3321">
        <v>97.7</v>
      </c>
      <c r="H3321">
        <v>147.1</v>
      </c>
      <c r="I3321">
        <v>151.30000000000001</v>
      </c>
      <c r="J3321">
        <v>100</v>
      </c>
      <c r="K3321">
        <v>100</v>
      </c>
      <c r="L3321" s="1" t="s">
        <v>7806</v>
      </c>
      <c r="M3321" t="s">
        <v>7808</v>
      </c>
      <c r="N3321">
        <v>7</v>
      </c>
    </row>
    <row r="3322" spans="1:14" x14ac:dyDescent="0.25">
      <c r="A3322" s="3" t="str">
        <f>HYPERLINK("http://www.ncbi.nlm.nih.gov/gene/29920","29920")</f>
        <v>29920</v>
      </c>
      <c r="B3322" s="1" t="s">
        <v>7809</v>
      </c>
      <c r="C3322" t="s">
        <v>7810</v>
      </c>
      <c r="D3322">
        <v>117.9</v>
      </c>
      <c r="E3322">
        <v>118.2</v>
      </c>
      <c r="F3322">
        <v>100</v>
      </c>
      <c r="G3322">
        <v>99.1</v>
      </c>
      <c r="H3322">
        <v>148.80000000000001</v>
      </c>
      <c r="I3322">
        <v>153</v>
      </c>
      <c r="J3322">
        <v>100</v>
      </c>
      <c r="K3322">
        <v>100</v>
      </c>
      <c r="L3322" s="1" t="s">
        <v>7809</v>
      </c>
      <c r="M3322" t="s">
        <v>2185</v>
      </c>
      <c r="N3322">
        <v>7</v>
      </c>
    </row>
    <row r="3323" spans="1:14" x14ac:dyDescent="0.25">
      <c r="A3323" s="3" t="str">
        <f>HYPERLINK("http://www.ncbi.nlm.nih.gov/gene/5836","5836")</f>
        <v>5836</v>
      </c>
      <c r="B3323" s="1" t="s">
        <v>7811</v>
      </c>
      <c r="C3323" t="s">
        <v>7812</v>
      </c>
      <c r="D3323">
        <v>142.19999999999999</v>
      </c>
      <c r="E3323">
        <v>146.6</v>
      </c>
      <c r="F3323">
        <v>100</v>
      </c>
      <c r="G3323">
        <v>100</v>
      </c>
      <c r="H3323">
        <v>140.69999999999999</v>
      </c>
      <c r="I3323">
        <v>145.1</v>
      </c>
      <c r="J3323">
        <v>100</v>
      </c>
      <c r="K3323">
        <v>100</v>
      </c>
      <c r="L3323" s="1" t="s">
        <v>7811</v>
      </c>
      <c r="M3323" t="s">
        <v>116</v>
      </c>
      <c r="N3323">
        <v>3</v>
      </c>
    </row>
    <row r="3324" spans="1:14" x14ac:dyDescent="0.25">
      <c r="A3324" s="3" t="str">
        <f>HYPERLINK("http://www.ncbi.nlm.nih.gov/gene/5837","5837")</f>
        <v>5837</v>
      </c>
      <c r="B3324" s="1" t="s">
        <v>7813</v>
      </c>
      <c r="C3324" t="s">
        <v>7814</v>
      </c>
      <c r="D3324">
        <v>134.1</v>
      </c>
      <c r="E3324">
        <v>138.69999999999999</v>
      </c>
      <c r="F3324">
        <v>100</v>
      </c>
      <c r="G3324">
        <v>99.9</v>
      </c>
      <c r="H3324">
        <v>144.6</v>
      </c>
      <c r="I3324">
        <v>148.9</v>
      </c>
      <c r="J3324">
        <v>100</v>
      </c>
      <c r="K3324">
        <v>100</v>
      </c>
      <c r="L3324" s="1" t="s">
        <v>7813</v>
      </c>
      <c r="M3324" t="s">
        <v>3934</v>
      </c>
      <c r="N3324">
        <v>4</v>
      </c>
    </row>
    <row r="3325" spans="1:14" x14ac:dyDescent="0.25">
      <c r="A3325" s="3" t="str">
        <f>HYPERLINK("http://www.ncbi.nlm.nih.gov/gene/79912","79912")</f>
        <v>79912</v>
      </c>
      <c r="B3325" s="1" t="s">
        <v>7815</v>
      </c>
      <c r="C3325" t="s">
        <v>7816</v>
      </c>
      <c r="D3325">
        <v>56.5</v>
      </c>
      <c r="E3325">
        <v>56.6</v>
      </c>
      <c r="F3325">
        <v>95.2</v>
      </c>
      <c r="G3325">
        <v>83.9</v>
      </c>
      <c r="H3325">
        <v>118.3</v>
      </c>
      <c r="I3325">
        <v>121.6</v>
      </c>
      <c r="J3325">
        <v>100</v>
      </c>
      <c r="K3325">
        <v>100</v>
      </c>
      <c r="L3325" s="1" t="s">
        <v>7815</v>
      </c>
      <c r="M3325" t="s">
        <v>766</v>
      </c>
      <c r="N3325">
        <v>3</v>
      </c>
    </row>
    <row r="3326" spans="1:14" x14ac:dyDescent="0.25">
      <c r="A3326" s="3" t="str">
        <f>HYPERLINK("http://www.ncbi.nlm.nih.gov/gene/5859","5859")</f>
        <v>5859</v>
      </c>
      <c r="B3326" s="1" t="s">
        <v>7817</v>
      </c>
      <c r="C3326" t="s">
        <v>7818</v>
      </c>
      <c r="D3326">
        <v>151.4</v>
      </c>
      <c r="E3326">
        <v>151.19999999999999</v>
      </c>
      <c r="F3326">
        <v>100</v>
      </c>
      <c r="G3326">
        <v>100</v>
      </c>
      <c r="H3326">
        <v>126.5</v>
      </c>
      <c r="I3326">
        <v>128.5</v>
      </c>
      <c r="J3326">
        <v>100</v>
      </c>
      <c r="K3326">
        <v>100</v>
      </c>
      <c r="L3326" s="1" t="s">
        <v>7817</v>
      </c>
      <c r="M3326" t="s">
        <v>1220</v>
      </c>
      <c r="N3326">
        <v>4</v>
      </c>
    </row>
    <row r="3327" spans="1:14" x14ac:dyDescent="0.25">
      <c r="A3327" s="3" t="str">
        <f>HYPERLINK("http://www.ncbi.nlm.nih.gov/gene/5860","5860")</f>
        <v>5860</v>
      </c>
      <c r="B3327" s="1" t="s">
        <v>7819</v>
      </c>
      <c r="C3327" t="s">
        <v>7820</v>
      </c>
      <c r="D3327">
        <v>108.3</v>
      </c>
      <c r="E3327">
        <v>112.9</v>
      </c>
      <c r="F3327">
        <v>100</v>
      </c>
      <c r="G3327">
        <v>99.7</v>
      </c>
      <c r="H3327">
        <v>127.3</v>
      </c>
      <c r="I3327">
        <v>130.5</v>
      </c>
      <c r="J3327">
        <v>100</v>
      </c>
      <c r="K3327">
        <v>100</v>
      </c>
      <c r="L3327" s="1" t="s">
        <v>7819</v>
      </c>
      <c r="M3327" t="s">
        <v>449</v>
      </c>
      <c r="N3327">
        <v>6</v>
      </c>
    </row>
    <row r="3328" spans="1:14" x14ac:dyDescent="0.25">
      <c r="A3328" s="3" t="str">
        <f>HYPERLINK("http://www.ncbi.nlm.nih.gov/gene/54870","54870")</f>
        <v>54870</v>
      </c>
      <c r="B3328" s="1" t="s">
        <v>7821</v>
      </c>
      <c r="C3328" t="s">
        <v>7822</v>
      </c>
      <c r="D3328">
        <v>145</v>
      </c>
      <c r="E3328">
        <v>151.6</v>
      </c>
      <c r="F3328">
        <v>100</v>
      </c>
      <c r="G3328">
        <v>99.9</v>
      </c>
      <c r="H3328">
        <v>145.6</v>
      </c>
      <c r="I3328">
        <v>148.4</v>
      </c>
      <c r="J3328">
        <v>100</v>
      </c>
      <c r="K3328">
        <v>100</v>
      </c>
      <c r="L3328" s="1" t="s">
        <v>7821</v>
      </c>
      <c r="M3328" t="s">
        <v>189</v>
      </c>
      <c r="N3328">
        <v>2</v>
      </c>
    </row>
    <row r="3329" spans="1:14" x14ac:dyDescent="0.25">
      <c r="A3329" s="3" t="str">
        <f>HYPERLINK("http://www.ncbi.nlm.nih.gov/gene/84074","84074")</f>
        <v>84074</v>
      </c>
      <c r="B3329" s="1" t="s">
        <v>7823</v>
      </c>
      <c r="C3329" t="s">
        <v>7824</v>
      </c>
      <c r="D3329">
        <v>136.69999999999999</v>
      </c>
      <c r="E3329">
        <v>115.9</v>
      </c>
      <c r="F3329">
        <v>94.3</v>
      </c>
      <c r="G3329">
        <v>93.5</v>
      </c>
      <c r="H3329">
        <v>162.19999999999999</v>
      </c>
      <c r="I3329">
        <v>155.30000000000001</v>
      </c>
      <c r="J3329">
        <v>100</v>
      </c>
      <c r="K3329">
        <v>100</v>
      </c>
      <c r="L3329" s="1" t="s">
        <v>7823</v>
      </c>
      <c r="M3329" t="s">
        <v>59</v>
      </c>
      <c r="N3329">
        <v>1</v>
      </c>
    </row>
    <row r="3330" spans="1:14" x14ac:dyDescent="0.25">
      <c r="A3330" s="3" t="str">
        <f>HYPERLINK("http://www.ncbi.nlm.nih.gov/gene/55278","55278")</f>
        <v>55278</v>
      </c>
      <c r="B3330" s="1" t="s">
        <v>7825</v>
      </c>
      <c r="C3330" t="s">
        <v>7826</v>
      </c>
      <c r="D3330">
        <v>97.3</v>
      </c>
      <c r="E3330">
        <v>101.2</v>
      </c>
      <c r="F3330">
        <v>99.2</v>
      </c>
      <c r="G3330">
        <v>93.9</v>
      </c>
      <c r="H3330">
        <v>142.5</v>
      </c>
      <c r="I3330">
        <v>146.69999999999999</v>
      </c>
      <c r="J3330">
        <v>100</v>
      </c>
      <c r="K3330">
        <v>100</v>
      </c>
      <c r="L3330" s="1" t="s">
        <v>7825</v>
      </c>
      <c r="M3330" t="s">
        <v>3849</v>
      </c>
      <c r="N3330">
        <v>3</v>
      </c>
    </row>
    <row r="3331" spans="1:14" x14ac:dyDescent="0.25">
      <c r="A3331" s="3" t="str">
        <f>HYPERLINK("http://www.ncbi.nlm.nih.gov/gene/9230","9230")</f>
        <v>9230</v>
      </c>
      <c r="B3331" s="1" t="s">
        <v>7827</v>
      </c>
      <c r="C3331" t="s">
        <v>7828</v>
      </c>
      <c r="D3331">
        <v>189.8</v>
      </c>
      <c r="E3331">
        <v>201.5</v>
      </c>
      <c r="F3331">
        <v>100</v>
      </c>
      <c r="G3331">
        <v>100</v>
      </c>
      <c r="H3331">
        <v>171.5</v>
      </c>
      <c r="I3331">
        <v>177.1</v>
      </c>
      <c r="J3331">
        <v>100</v>
      </c>
      <c r="K3331">
        <v>100</v>
      </c>
      <c r="L3331" s="1" t="s">
        <v>7827</v>
      </c>
      <c r="M3331" t="s">
        <v>189</v>
      </c>
      <c r="N3331">
        <v>2</v>
      </c>
    </row>
    <row r="3332" spans="1:14" x14ac:dyDescent="0.25">
      <c r="A3332" s="3" t="str">
        <f>HYPERLINK("http://www.ncbi.nlm.nih.gov/gene/22931","22931")</f>
        <v>22931</v>
      </c>
      <c r="B3332" s="1" t="s">
        <v>7829</v>
      </c>
      <c r="C3332" t="s">
        <v>7830</v>
      </c>
      <c r="D3332">
        <v>93.8</v>
      </c>
      <c r="E3332">
        <v>94.9</v>
      </c>
      <c r="F3332">
        <v>99.5</v>
      </c>
      <c r="G3332">
        <v>97.4</v>
      </c>
      <c r="H3332">
        <v>130.69999999999999</v>
      </c>
      <c r="I3332">
        <v>135.19999999999999</v>
      </c>
      <c r="J3332">
        <v>100</v>
      </c>
      <c r="K3332">
        <v>100</v>
      </c>
      <c r="L3332" s="1" t="s">
        <v>7829</v>
      </c>
      <c r="M3332" t="s">
        <v>288</v>
      </c>
      <c r="N3332">
        <v>4</v>
      </c>
    </row>
    <row r="3333" spans="1:14" x14ac:dyDescent="0.25">
      <c r="A3333" s="3" t="str">
        <f>HYPERLINK("http://www.ncbi.nlm.nih.gov/gene/51715","51715")</f>
        <v>51715</v>
      </c>
      <c r="B3333" s="1" t="s">
        <v>7831</v>
      </c>
      <c r="C3333" t="s">
        <v>7832</v>
      </c>
      <c r="D3333">
        <v>122.9</v>
      </c>
      <c r="E3333">
        <v>130.80000000000001</v>
      </c>
      <c r="F3333">
        <v>100</v>
      </c>
      <c r="G3333">
        <v>99.5</v>
      </c>
      <c r="H3333">
        <v>138.80000000000001</v>
      </c>
      <c r="I3333">
        <v>142.30000000000001</v>
      </c>
      <c r="J3333">
        <v>100</v>
      </c>
      <c r="K3333">
        <v>100</v>
      </c>
      <c r="L3333" s="1" t="s">
        <v>7831</v>
      </c>
      <c r="M3333" t="s">
        <v>7833</v>
      </c>
      <c r="N3333">
        <v>6</v>
      </c>
    </row>
    <row r="3334" spans="1:14" x14ac:dyDescent="0.25">
      <c r="A3334" s="3" t="str">
        <f>HYPERLINK("http://www.ncbi.nlm.nih.gov/gene/5873","5873")</f>
        <v>5873</v>
      </c>
      <c r="B3334" s="1" t="s">
        <v>7834</v>
      </c>
      <c r="C3334" t="s">
        <v>7835</v>
      </c>
      <c r="D3334">
        <v>156.4</v>
      </c>
      <c r="E3334">
        <v>163.4</v>
      </c>
      <c r="F3334">
        <v>100</v>
      </c>
      <c r="G3334">
        <v>100</v>
      </c>
      <c r="H3334">
        <v>112.9</v>
      </c>
      <c r="I3334">
        <v>116.3</v>
      </c>
      <c r="J3334">
        <v>100</v>
      </c>
      <c r="K3334">
        <v>100</v>
      </c>
      <c r="L3334" s="1" t="s">
        <v>7834</v>
      </c>
      <c r="M3334" t="s">
        <v>7836</v>
      </c>
      <c r="N3334">
        <v>6</v>
      </c>
    </row>
    <row r="3335" spans="1:14" x14ac:dyDescent="0.25">
      <c r="A3335" s="3" t="str">
        <f>HYPERLINK("http://www.ncbi.nlm.nih.gov/gene/9364","9364")</f>
        <v>9364</v>
      </c>
      <c r="B3335" s="1" t="s">
        <v>7837</v>
      </c>
      <c r="C3335" t="s">
        <v>7838</v>
      </c>
      <c r="D3335">
        <v>79.3</v>
      </c>
      <c r="E3335">
        <v>80.2</v>
      </c>
      <c r="F3335">
        <v>99.7</v>
      </c>
      <c r="G3335">
        <v>96</v>
      </c>
      <c r="H3335">
        <v>118.2</v>
      </c>
      <c r="I3335">
        <v>120.2</v>
      </c>
      <c r="J3335">
        <v>100</v>
      </c>
      <c r="K3335">
        <v>100</v>
      </c>
      <c r="L3335" s="1" t="s">
        <v>7837</v>
      </c>
      <c r="M3335" t="s">
        <v>56</v>
      </c>
      <c r="N3335">
        <v>3</v>
      </c>
    </row>
    <row r="3336" spans="1:14" x14ac:dyDescent="0.25">
      <c r="A3336" s="3" t="str">
        <f>HYPERLINK("http://www.ncbi.nlm.nih.gov/gene/83452","83452")</f>
        <v>83452</v>
      </c>
      <c r="B3336" s="1" t="s">
        <v>7839</v>
      </c>
      <c r="C3336" t="s">
        <v>7840</v>
      </c>
      <c r="D3336">
        <v>180.6</v>
      </c>
      <c r="E3336">
        <v>188.3</v>
      </c>
      <c r="F3336">
        <v>85</v>
      </c>
      <c r="G3336">
        <v>85</v>
      </c>
      <c r="H3336">
        <v>149.30000000000001</v>
      </c>
      <c r="I3336">
        <v>151.1</v>
      </c>
      <c r="J3336">
        <v>100</v>
      </c>
      <c r="K3336">
        <v>100</v>
      </c>
      <c r="L3336" s="1" t="s">
        <v>7839</v>
      </c>
      <c r="M3336" t="s">
        <v>1168</v>
      </c>
      <c r="N3336">
        <v>3</v>
      </c>
    </row>
    <row r="3337" spans="1:14" x14ac:dyDescent="0.25">
      <c r="A3337" s="3" t="str">
        <f>HYPERLINK("http://www.ncbi.nlm.nih.gov/gene/116442","116442")</f>
        <v>116442</v>
      </c>
      <c r="B3337" s="1" t="s">
        <v>7841</v>
      </c>
      <c r="C3337" t="s">
        <v>7842</v>
      </c>
      <c r="D3337">
        <v>108.1</v>
      </c>
      <c r="E3337">
        <v>109.8</v>
      </c>
      <c r="F3337">
        <v>100</v>
      </c>
      <c r="G3337">
        <v>100</v>
      </c>
      <c r="H3337">
        <v>152.69999999999999</v>
      </c>
      <c r="I3337">
        <v>153.9</v>
      </c>
      <c r="J3337">
        <v>100</v>
      </c>
      <c r="K3337">
        <v>100</v>
      </c>
      <c r="L3337" s="1" t="s">
        <v>7841</v>
      </c>
      <c r="M3337" t="s">
        <v>6874</v>
      </c>
      <c r="N3337">
        <v>3</v>
      </c>
    </row>
    <row r="3338" spans="1:14" x14ac:dyDescent="0.25">
      <c r="A3338" s="3" t="str">
        <f>HYPERLINK("http://www.ncbi.nlm.nih.gov/gene/22930","22930")</f>
        <v>22930</v>
      </c>
      <c r="B3338" s="1" t="s">
        <v>7843</v>
      </c>
      <c r="C3338" t="s">
        <v>7844</v>
      </c>
      <c r="D3338">
        <v>136.1</v>
      </c>
      <c r="E3338">
        <v>136.80000000000001</v>
      </c>
      <c r="F3338">
        <v>99.4</v>
      </c>
      <c r="G3338">
        <v>98.9</v>
      </c>
      <c r="H3338">
        <v>129</v>
      </c>
      <c r="I3338">
        <v>132.4</v>
      </c>
      <c r="J3338">
        <v>99.4</v>
      </c>
      <c r="K3338">
        <v>99.4</v>
      </c>
      <c r="L3338" s="1" t="s">
        <v>7843</v>
      </c>
      <c r="M3338" t="s">
        <v>288</v>
      </c>
      <c r="N3338">
        <v>4</v>
      </c>
    </row>
    <row r="3339" spans="1:14" x14ac:dyDescent="0.25">
      <c r="A3339" s="3" t="str">
        <f>HYPERLINK("http://www.ncbi.nlm.nih.gov/gene/25782","25782")</f>
        <v>25782</v>
      </c>
      <c r="B3339" s="1" t="s">
        <v>7845</v>
      </c>
      <c r="C3339" t="s">
        <v>7846</v>
      </c>
      <c r="D3339">
        <v>104.3</v>
      </c>
      <c r="E3339">
        <v>108</v>
      </c>
      <c r="F3339">
        <v>99.5</v>
      </c>
      <c r="G3339">
        <v>97</v>
      </c>
      <c r="H3339">
        <v>130.1</v>
      </c>
      <c r="I3339">
        <v>133.9</v>
      </c>
      <c r="J3339">
        <v>100</v>
      </c>
      <c r="K3339">
        <v>100</v>
      </c>
      <c r="L3339" s="1" t="s">
        <v>7845</v>
      </c>
      <c r="M3339" t="s">
        <v>5296</v>
      </c>
      <c r="N3339">
        <v>5</v>
      </c>
    </row>
    <row r="3340" spans="1:14" x14ac:dyDescent="0.25">
      <c r="A3340" s="3" t="str">
        <f>HYPERLINK("http://www.ncbi.nlm.nih.gov/gene/7879","7879")</f>
        <v>7879</v>
      </c>
      <c r="B3340" s="1" t="s">
        <v>7847</v>
      </c>
      <c r="C3340" t="s">
        <v>7848</v>
      </c>
      <c r="D3340">
        <v>141.5</v>
      </c>
      <c r="E3340">
        <v>151.4</v>
      </c>
      <c r="F3340">
        <v>100</v>
      </c>
      <c r="G3340">
        <v>99.9</v>
      </c>
      <c r="H3340">
        <v>124</v>
      </c>
      <c r="I3340">
        <v>128.6</v>
      </c>
      <c r="J3340">
        <v>100</v>
      </c>
      <c r="K3340">
        <v>100</v>
      </c>
      <c r="L3340" s="1" t="s">
        <v>7847</v>
      </c>
      <c r="M3340" t="s">
        <v>856</v>
      </c>
      <c r="N3340">
        <v>3</v>
      </c>
    </row>
    <row r="3341" spans="1:14" x14ac:dyDescent="0.25">
      <c r="A3341" s="3" t="str">
        <f>HYPERLINK("http://www.ncbi.nlm.nih.gov/gene/5879","5879")</f>
        <v>5879</v>
      </c>
      <c r="B3341" s="1" t="s">
        <v>7849</v>
      </c>
      <c r="C3341" t="s">
        <v>7850</v>
      </c>
      <c r="D3341">
        <v>140.6</v>
      </c>
      <c r="E3341">
        <v>140.30000000000001</v>
      </c>
      <c r="F3341">
        <v>99.9</v>
      </c>
      <c r="G3341">
        <v>96.2</v>
      </c>
      <c r="H3341">
        <v>138.9</v>
      </c>
      <c r="I3341">
        <v>142.30000000000001</v>
      </c>
      <c r="J3341">
        <v>100</v>
      </c>
      <c r="K3341">
        <v>99.9</v>
      </c>
      <c r="L3341" s="1" t="s">
        <v>7849</v>
      </c>
      <c r="M3341" t="s">
        <v>189</v>
      </c>
      <c r="N3341">
        <v>2</v>
      </c>
    </row>
    <row r="3342" spans="1:14" x14ac:dyDescent="0.25">
      <c r="A3342" s="3" t="str">
        <f>HYPERLINK("http://www.ncbi.nlm.nih.gov/gene/5880","5880")</f>
        <v>5880</v>
      </c>
      <c r="B3342" s="1" t="s">
        <v>7851</v>
      </c>
      <c r="C3342" t="s">
        <v>7852</v>
      </c>
      <c r="D3342">
        <v>100.3</v>
      </c>
      <c r="E3342">
        <v>104.2</v>
      </c>
      <c r="F3342">
        <v>99.9</v>
      </c>
      <c r="G3342">
        <v>98.3</v>
      </c>
      <c r="H3342">
        <v>134.1</v>
      </c>
      <c r="I3342">
        <v>137.30000000000001</v>
      </c>
      <c r="J3342">
        <v>100</v>
      </c>
      <c r="K3342">
        <v>100</v>
      </c>
      <c r="L3342" s="1" t="s">
        <v>7851</v>
      </c>
      <c r="M3342" t="s">
        <v>7853</v>
      </c>
      <c r="N3342">
        <v>3</v>
      </c>
    </row>
    <row r="3343" spans="1:14" x14ac:dyDescent="0.25">
      <c r="A3343" s="3" t="str">
        <f>HYPERLINK("http://www.ncbi.nlm.nih.gov/gene/5881","5881")</f>
        <v>5881</v>
      </c>
      <c r="B3343" s="1" t="s">
        <v>7854</v>
      </c>
      <c r="D3343">
        <v>110</v>
      </c>
      <c r="E3343">
        <v>113.3</v>
      </c>
      <c r="F3343">
        <v>97.3</v>
      </c>
      <c r="G3343">
        <v>94.4</v>
      </c>
      <c r="H3343">
        <v>133.6</v>
      </c>
      <c r="I3343">
        <v>137.1</v>
      </c>
      <c r="J3343">
        <v>99.7</v>
      </c>
      <c r="K3343">
        <v>98.2</v>
      </c>
      <c r="L3343" s="1" t="s">
        <v>7854</v>
      </c>
      <c r="M3343" t="s">
        <v>697</v>
      </c>
      <c r="N3343">
        <v>3</v>
      </c>
    </row>
    <row r="3344" spans="1:14" x14ac:dyDescent="0.25">
      <c r="A3344" s="3" t="str">
        <f>HYPERLINK("http://www.ncbi.nlm.nih.gov/gene/5885","5885")</f>
        <v>5885</v>
      </c>
      <c r="B3344" s="1" t="s">
        <v>7855</v>
      </c>
      <c r="C3344" t="s">
        <v>7856</v>
      </c>
      <c r="D3344">
        <v>98.7</v>
      </c>
      <c r="E3344">
        <v>103</v>
      </c>
      <c r="F3344">
        <v>99.2</v>
      </c>
      <c r="G3344">
        <v>96.6</v>
      </c>
      <c r="H3344">
        <v>135.80000000000001</v>
      </c>
      <c r="I3344">
        <v>140.80000000000001</v>
      </c>
      <c r="J3344">
        <v>100</v>
      </c>
      <c r="K3344">
        <v>100</v>
      </c>
      <c r="L3344" s="1" t="s">
        <v>7855</v>
      </c>
      <c r="M3344" t="s">
        <v>7857</v>
      </c>
      <c r="N3344">
        <v>7</v>
      </c>
    </row>
    <row r="3345" spans="1:14" x14ac:dyDescent="0.25">
      <c r="A3345" s="3" t="str">
        <f>HYPERLINK("http://www.ncbi.nlm.nih.gov/gene/10111","10111")</f>
        <v>10111</v>
      </c>
      <c r="B3345" s="1" t="s">
        <v>7858</v>
      </c>
      <c r="C3345" t="s">
        <v>7859</v>
      </c>
      <c r="D3345">
        <v>112.6</v>
      </c>
      <c r="E3345">
        <v>118.2</v>
      </c>
      <c r="F3345">
        <v>97.5</v>
      </c>
      <c r="G3345">
        <v>91.6</v>
      </c>
      <c r="H3345">
        <v>109.7</v>
      </c>
      <c r="I3345">
        <v>113.2</v>
      </c>
      <c r="J3345">
        <v>100</v>
      </c>
      <c r="K3345">
        <v>100</v>
      </c>
      <c r="L3345" s="1" t="s">
        <v>7858</v>
      </c>
      <c r="M3345" t="s">
        <v>7860</v>
      </c>
      <c r="N3345">
        <v>5</v>
      </c>
    </row>
    <row r="3346" spans="1:14" x14ac:dyDescent="0.25">
      <c r="A3346" s="3" t="str">
        <f>HYPERLINK("http://www.ncbi.nlm.nih.gov/gene/5888","5888")</f>
        <v>5888</v>
      </c>
      <c r="B3346" s="1" t="s">
        <v>7861</v>
      </c>
      <c r="C3346" t="s">
        <v>7862</v>
      </c>
      <c r="D3346">
        <v>110.7</v>
      </c>
      <c r="E3346">
        <v>113</v>
      </c>
      <c r="F3346">
        <v>89.4</v>
      </c>
      <c r="G3346">
        <v>89.4</v>
      </c>
      <c r="H3346">
        <v>111.7</v>
      </c>
      <c r="I3346">
        <v>114.3</v>
      </c>
      <c r="J3346">
        <v>89.4</v>
      </c>
      <c r="K3346">
        <v>89.4</v>
      </c>
      <c r="L3346" s="1" t="s">
        <v>7861</v>
      </c>
      <c r="M3346" t="s">
        <v>7863</v>
      </c>
      <c r="N3346">
        <v>3</v>
      </c>
    </row>
    <row r="3347" spans="1:14" x14ac:dyDescent="0.25">
      <c r="A3347" s="3" t="str">
        <f>HYPERLINK("http://www.ncbi.nlm.nih.gov/gene/5890","5890")</f>
        <v>5890</v>
      </c>
      <c r="B3347" s="1" t="s">
        <v>7864</v>
      </c>
      <c r="C3347" t="s">
        <v>7865</v>
      </c>
      <c r="D3347">
        <v>96.6</v>
      </c>
      <c r="E3347">
        <v>100.1</v>
      </c>
      <c r="F3347">
        <v>99.3</v>
      </c>
      <c r="G3347">
        <v>96</v>
      </c>
      <c r="H3347">
        <v>110.4</v>
      </c>
      <c r="I3347">
        <v>113.5</v>
      </c>
      <c r="J3347">
        <v>92.4</v>
      </c>
      <c r="K3347">
        <v>92.4</v>
      </c>
      <c r="L3347" s="1" t="s">
        <v>7864</v>
      </c>
      <c r="M3347" t="s">
        <v>1462</v>
      </c>
      <c r="N3347">
        <v>2</v>
      </c>
    </row>
    <row r="3348" spans="1:14" x14ac:dyDescent="0.25">
      <c r="A3348" s="3" t="str">
        <f>HYPERLINK("http://www.ncbi.nlm.nih.gov/gene/5889","5889")</f>
        <v>5889</v>
      </c>
      <c r="B3348" s="1" t="s">
        <v>7866</v>
      </c>
      <c r="C3348" t="s">
        <v>7867</v>
      </c>
      <c r="D3348">
        <v>158.9</v>
      </c>
      <c r="E3348">
        <v>162.80000000000001</v>
      </c>
      <c r="F3348">
        <v>100</v>
      </c>
      <c r="G3348">
        <v>99.8</v>
      </c>
      <c r="H3348">
        <v>127.5</v>
      </c>
      <c r="I3348">
        <v>131.30000000000001</v>
      </c>
      <c r="J3348">
        <v>100</v>
      </c>
      <c r="K3348">
        <v>100</v>
      </c>
      <c r="L3348" s="1" t="s">
        <v>7866</v>
      </c>
      <c r="M3348" t="s">
        <v>7868</v>
      </c>
      <c r="N3348">
        <v>5</v>
      </c>
    </row>
    <row r="3349" spans="1:14" x14ac:dyDescent="0.25">
      <c r="A3349" s="3" t="str">
        <f>HYPERLINK("http://www.ncbi.nlm.nih.gov/gene/5892","5892")</f>
        <v>5892</v>
      </c>
      <c r="B3349" s="1" t="s">
        <v>7869</v>
      </c>
      <c r="C3349" t="s">
        <v>7870</v>
      </c>
      <c r="D3349">
        <v>160.4</v>
      </c>
      <c r="E3349">
        <v>166.9</v>
      </c>
      <c r="F3349">
        <v>100</v>
      </c>
      <c r="G3349">
        <v>99.9</v>
      </c>
      <c r="H3349">
        <v>134.4</v>
      </c>
      <c r="I3349">
        <v>137.69999999999999</v>
      </c>
      <c r="J3349">
        <v>100</v>
      </c>
      <c r="K3349">
        <v>100</v>
      </c>
      <c r="L3349" s="1" t="s">
        <v>7869</v>
      </c>
      <c r="M3349" t="s">
        <v>1056</v>
      </c>
      <c r="N3349">
        <v>3</v>
      </c>
    </row>
    <row r="3350" spans="1:14" x14ac:dyDescent="0.25">
      <c r="A3350" s="3" t="str">
        <f>HYPERLINK("http://www.ncbi.nlm.nih.gov/gene/25788","25788")</f>
        <v>25788</v>
      </c>
      <c r="B3350" s="1" t="s">
        <v>7871</v>
      </c>
      <c r="C3350" t="s">
        <v>7872</v>
      </c>
      <c r="D3350">
        <v>134.5</v>
      </c>
      <c r="E3350">
        <v>142.19999999999999</v>
      </c>
      <c r="F3350">
        <v>99.7</v>
      </c>
      <c r="G3350">
        <v>97.3</v>
      </c>
      <c r="H3350">
        <v>138</v>
      </c>
      <c r="I3350">
        <v>142.5</v>
      </c>
      <c r="J3350">
        <v>100</v>
      </c>
      <c r="K3350">
        <v>100</v>
      </c>
      <c r="L3350" s="1" t="s">
        <v>7871</v>
      </c>
      <c r="M3350" t="s">
        <v>22</v>
      </c>
      <c r="N3350">
        <v>1</v>
      </c>
    </row>
    <row r="3351" spans="1:14" x14ac:dyDescent="0.25">
      <c r="A3351" s="3" t="str">
        <f>HYPERLINK("http://www.ncbi.nlm.nih.gov/gene/8438","8438")</f>
        <v>8438</v>
      </c>
      <c r="B3351" s="1" t="s">
        <v>7873</v>
      </c>
      <c r="C3351" t="s">
        <v>7874</v>
      </c>
      <c r="D3351">
        <v>117.2</v>
      </c>
      <c r="E3351">
        <v>119.4</v>
      </c>
      <c r="F3351">
        <v>100</v>
      </c>
      <c r="G3351">
        <v>98.9</v>
      </c>
      <c r="H3351">
        <v>137.30000000000001</v>
      </c>
      <c r="I3351">
        <v>141.1</v>
      </c>
      <c r="J3351">
        <v>100</v>
      </c>
      <c r="K3351">
        <v>100</v>
      </c>
      <c r="L3351" s="1" t="s">
        <v>7873</v>
      </c>
      <c r="M3351" t="s">
        <v>22</v>
      </c>
      <c r="N3351">
        <v>1</v>
      </c>
    </row>
    <row r="3352" spans="1:14" x14ac:dyDescent="0.25">
      <c r="A3352" s="3" t="str">
        <f>HYPERLINK("http://www.ncbi.nlm.nih.gov/gene/5894","5894")</f>
        <v>5894</v>
      </c>
      <c r="B3352" s="1" t="s">
        <v>7875</v>
      </c>
      <c r="C3352" t="s">
        <v>7876</v>
      </c>
      <c r="D3352">
        <v>121.1</v>
      </c>
      <c r="E3352">
        <v>125.8</v>
      </c>
      <c r="F3352">
        <v>100</v>
      </c>
      <c r="G3352">
        <v>100</v>
      </c>
      <c r="H3352">
        <v>134.1</v>
      </c>
      <c r="I3352">
        <v>137.19999999999999</v>
      </c>
      <c r="J3352">
        <v>100</v>
      </c>
      <c r="K3352">
        <v>100</v>
      </c>
      <c r="L3352" s="1" t="s">
        <v>7875</v>
      </c>
      <c r="M3352" t="s">
        <v>7877</v>
      </c>
      <c r="N3352">
        <v>10</v>
      </c>
    </row>
    <row r="3353" spans="1:14" x14ac:dyDescent="0.25">
      <c r="A3353" s="3" t="str">
        <f>HYPERLINK("http://www.ncbi.nlm.nih.gov/gene/5896","5896")</f>
        <v>5896</v>
      </c>
      <c r="B3353" s="1" t="s">
        <v>7878</v>
      </c>
      <c r="C3353" t="s">
        <v>7879</v>
      </c>
      <c r="D3353">
        <v>174.1</v>
      </c>
      <c r="E3353">
        <v>169</v>
      </c>
      <c r="F3353">
        <v>100</v>
      </c>
      <c r="G3353">
        <v>100</v>
      </c>
      <c r="H3353">
        <v>153.6</v>
      </c>
      <c r="I3353">
        <v>153.69999999999999</v>
      </c>
      <c r="J3353">
        <v>100</v>
      </c>
      <c r="K3353">
        <v>100</v>
      </c>
      <c r="L3353" s="1" t="s">
        <v>7878</v>
      </c>
      <c r="M3353" t="s">
        <v>2586</v>
      </c>
      <c r="N3353">
        <v>5</v>
      </c>
    </row>
    <row r="3354" spans="1:14" x14ac:dyDescent="0.25">
      <c r="A3354" s="3" t="str">
        <f>HYPERLINK("http://www.ncbi.nlm.nih.gov/gene/5897","5897")</f>
        <v>5897</v>
      </c>
      <c r="B3354" s="1" t="s">
        <v>7880</v>
      </c>
      <c r="C3354" t="s">
        <v>7881</v>
      </c>
      <c r="D3354">
        <v>219.4</v>
      </c>
      <c r="E3354">
        <v>223.3</v>
      </c>
      <c r="F3354">
        <v>100</v>
      </c>
      <c r="G3354">
        <v>100</v>
      </c>
      <c r="H3354">
        <v>169.4</v>
      </c>
      <c r="I3354">
        <v>168.8</v>
      </c>
      <c r="J3354">
        <v>100</v>
      </c>
      <c r="K3354">
        <v>100</v>
      </c>
      <c r="L3354" s="1" t="s">
        <v>7880</v>
      </c>
      <c r="M3354" t="s">
        <v>2586</v>
      </c>
      <c r="N3354">
        <v>5</v>
      </c>
    </row>
    <row r="3355" spans="1:14" x14ac:dyDescent="0.25">
      <c r="A3355" s="3" t="str">
        <f>HYPERLINK("http://www.ncbi.nlm.nih.gov/gene/10743","10743")</f>
        <v>10743</v>
      </c>
      <c r="B3355" s="1" t="s">
        <v>7882</v>
      </c>
      <c r="C3355" t="s">
        <v>7883</v>
      </c>
      <c r="D3355">
        <v>211.3</v>
      </c>
      <c r="E3355">
        <v>187.6</v>
      </c>
      <c r="F3355">
        <v>100</v>
      </c>
      <c r="G3355">
        <v>100</v>
      </c>
      <c r="H3355">
        <v>157.6</v>
      </c>
      <c r="I3355">
        <v>156.19999999999999</v>
      </c>
      <c r="J3355">
        <v>100</v>
      </c>
      <c r="K3355">
        <v>100</v>
      </c>
      <c r="L3355" s="1" t="s">
        <v>7882</v>
      </c>
      <c r="M3355" t="s">
        <v>7884</v>
      </c>
      <c r="N3355">
        <v>4</v>
      </c>
    </row>
    <row r="3356" spans="1:14" x14ac:dyDescent="0.25">
      <c r="A3356" s="3" t="str">
        <f>HYPERLINK("http://www.ncbi.nlm.nih.gov/gene/5898","5898")</f>
        <v>5898</v>
      </c>
      <c r="B3356" s="1" t="s">
        <v>7885</v>
      </c>
      <c r="C3356" t="s">
        <v>7886</v>
      </c>
      <c r="D3356">
        <v>134.5</v>
      </c>
      <c r="E3356">
        <v>140.4</v>
      </c>
      <c r="F3356">
        <v>94.6</v>
      </c>
      <c r="G3356">
        <v>87.9</v>
      </c>
      <c r="H3356">
        <v>115.1</v>
      </c>
      <c r="I3356">
        <v>118.2</v>
      </c>
      <c r="J3356">
        <v>100</v>
      </c>
      <c r="K3356">
        <v>100</v>
      </c>
      <c r="L3356" s="1" t="s">
        <v>7885</v>
      </c>
      <c r="M3356" t="s">
        <v>189</v>
      </c>
      <c r="N3356">
        <v>2</v>
      </c>
    </row>
    <row r="3357" spans="1:14" x14ac:dyDescent="0.25">
      <c r="A3357" s="3" t="str">
        <f>HYPERLINK("http://www.ncbi.nlm.nih.gov/gene/253959","253959")</f>
        <v>253959</v>
      </c>
      <c r="B3357" s="1" t="s">
        <v>7887</v>
      </c>
      <c r="C3357" t="s">
        <v>7888</v>
      </c>
      <c r="D3357">
        <v>58.7</v>
      </c>
      <c r="E3357">
        <v>58.1</v>
      </c>
      <c r="F3357">
        <v>74.5</v>
      </c>
      <c r="G3357">
        <v>63.9</v>
      </c>
      <c r="H3357">
        <v>132.5</v>
      </c>
      <c r="I3357">
        <v>135.30000000000001</v>
      </c>
      <c r="J3357">
        <v>100</v>
      </c>
      <c r="K3357">
        <v>100</v>
      </c>
      <c r="L3357" s="1" t="s">
        <v>7887</v>
      </c>
      <c r="M3357" t="s">
        <v>228</v>
      </c>
      <c r="N3357">
        <v>3</v>
      </c>
    </row>
    <row r="3358" spans="1:14" x14ac:dyDescent="0.25">
      <c r="A3358" s="3" t="str">
        <f>HYPERLINK("http://www.ncbi.nlm.nih.gov/gene/5903","5903")</f>
        <v>5903</v>
      </c>
      <c r="B3358" s="1" t="s">
        <v>7889</v>
      </c>
      <c r="C3358" t="s">
        <v>7890</v>
      </c>
      <c r="D3358">
        <v>121</v>
      </c>
      <c r="E3358">
        <v>122.8</v>
      </c>
      <c r="F3358">
        <v>49.7</v>
      </c>
      <c r="G3358">
        <v>49.3</v>
      </c>
      <c r="H3358">
        <v>191</v>
      </c>
      <c r="I3358">
        <v>191.5</v>
      </c>
      <c r="J3358">
        <v>100</v>
      </c>
      <c r="K3358">
        <v>100</v>
      </c>
      <c r="L3358" s="1" t="s">
        <v>7889</v>
      </c>
      <c r="M3358" t="s">
        <v>562</v>
      </c>
      <c r="N3358">
        <v>2</v>
      </c>
    </row>
    <row r="3359" spans="1:14" x14ac:dyDescent="0.25">
      <c r="A3359" s="3" t="str">
        <f>HYPERLINK("http://www.ncbi.nlm.nih.gov/gene/29098","29098")</f>
        <v>29098</v>
      </c>
      <c r="B3359" s="1" t="s">
        <v>7891</v>
      </c>
      <c r="C3359" t="s">
        <v>7892</v>
      </c>
      <c r="D3359">
        <v>156.1</v>
      </c>
      <c r="E3359">
        <v>165.3</v>
      </c>
      <c r="F3359">
        <v>100</v>
      </c>
      <c r="G3359">
        <v>99.9</v>
      </c>
      <c r="H3359">
        <v>146.30000000000001</v>
      </c>
      <c r="I3359">
        <v>142.4</v>
      </c>
      <c r="J3359">
        <v>100</v>
      </c>
      <c r="K3359">
        <v>100</v>
      </c>
      <c r="L3359" s="1" t="s">
        <v>7891</v>
      </c>
      <c r="M3359" t="s">
        <v>197</v>
      </c>
      <c r="N3359">
        <v>2</v>
      </c>
    </row>
    <row r="3360" spans="1:14" x14ac:dyDescent="0.25">
      <c r="A3360" s="3" t="str">
        <f>HYPERLINK("http://www.ncbi.nlm.nih.gov/gene/5910","5910")</f>
        <v>5910</v>
      </c>
      <c r="B3360" s="1" t="s">
        <v>7893</v>
      </c>
      <c r="C3360" t="s">
        <v>7894</v>
      </c>
      <c r="D3360">
        <v>108.3</v>
      </c>
      <c r="E3360">
        <v>111.6</v>
      </c>
      <c r="F3360">
        <v>99.8</v>
      </c>
      <c r="G3360">
        <v>96.8</v>
      </c>
      <c r="H3360">
        <v>118.8</v>
      </c>
      <c r="I3360">
        <v>122.1</v>
      </c>
      <c r="J3360">
        <v>100</v>
      </c>
      <c r="K3360">
        <v>100</v>
      </c>
      <c r="L3360" s="1" t="s">
        <v>7893</v>
      </c>
      <c r="M3360" t="s">
        <v>22</v>
      </c>
      <c r="N3360">
        <v>1</v>
      </c>
    </row>
    <row r="3361" spans="1:14" x14ac:dyDescent="0.25">
      <c r="A3361" s="3" t="str">
        <f>HYPERLINK("http://www.ncbi.nlm.nih.gov/gene/9693","9693")</f>
        <v>9693</v>
      </c>
      <c r="B3361" s="1" t="s">
        <v>7895</v>
      </c>
      <c r="C3361" t="s">
        <v>7896</v>
      </c>
      <c r="D3361">
        <v>154.9</v>
      </c>
      <c r="E3361">
        <v>160.30000000000001</v>
      </c>
      <c r="F3361">
        <v>99.7</v>
      </c>
      <c r="G3361">
        <v>98.8</v>
      </c>
      <c r="H3361">
        <v>128</v>
      </c>
      <c r="I3361">
        <v>131.1</v>
      </c>
      <c r="J3361">
        <v>100</v>
      </c>
      <c r="K3361">
        <v>100</v>
      </c>
      <c r="L3361" s="1" t="s">
        <v>7895</v>
      </c>
      <c r="M3361" t="s">
        <v>22</v>
      </c>
      <c r="N3361">
        <v>1</v>
      </c>
    </row>
    <row r="3362" spans="1:14" x14ac:dyDescent="0.25">
      <c r="A3362" s="3" t="str">
        <f>HYPERLINK("http://www.ncbi.nlm.nih.gov/gene/5913","5913")</f>
        <v>5913</v>
      </c>
      <c r="B3362" s="1" t="s">
        <v>7897</v>
      </c>
      <c r="C3362" t="s">
        <v>7898</v>
      </c>
      <c r="D3362">
        <v>156.1</v>
      </c>
      <c r="E3362">
        <v>162.4</v>
      </c>
      <c r="F3362">
        <v>100</v>
      </c>
      <c r="G3362">
        <v>99.7</v>
      </c>
      <c r="H3362">
        <v>140.30000000000001</v>
      </c>
      <c r="I3362">
        <v>144.6</v>
      </c>
      <c r="J3362">
        <v>100</v>
      </c>
      <c r="K3362">
        <v>100</v>
      </c>
      <c r="L3362" s="1" t="s">
        <v>7897</v>
      </c>
      <c r="M3362" t="s">
        <v>1147</v>
      </c>
      <c r="N3362">
        <v>4</v>
      </c>
    </row>
    <row r="3363" spans="1:14" x14ac:dyDescent="0.25">
      <c r="A3363" s="3" t="str">
        <f>HYPERLINK("http://www.ncbi.nlm.nih.gov/gene/5915","5915")</f>
        <v>5915</v>
      </c>
      <c r="B3363" s="1" t="s">
        <v>7899</v>
      </c>
      <c r="C3363" t="s">
        <v>7900</v>
      </c>
      <c r="D3363">
        <v>105.5</v>
      </c>
      <c r="E3363">
        <v>109.5</v>
      </c>
      <c r="F3363">
        <v>100</v>
      </c>
      <c r="G3363">
        <v>100</v>
      </c>
      <c r="H3363">
        <v>147.80000000000001</v>
      </c>
      <c r="I3363">
        <v>153.30000000000001</v>
      </c>
      <c r="J3363">
        <v>100</v>
      </c>
      <c r="K3363">
        <v>100</v>
      </c>
      <c r="L3363" s="1" t="s">
        <v>7899</v>
      </c>
      <c r="M3363" t="s">
        <v>7901</v>
      </c>
      <c r="N3363">
        <v>4</v>
      </c>
    </row>
    <row r="3364" spans="1:14" x14ac:dyDescent="0.25">
      <c r="A3364" s="3" t="str">
        <f>HYPERLINK("http://www.ncbi.nlm.nih.gov/gene/5917","5917")</f>
        <v>5917</v>
      </c>
      <c r="B3364" s="1" t="s">
        <v>7902</v>
      </c>
      <c r="C3364" t="s">
        <v>7903</v>
      </c>
      <c r="D3364">
        <v>111</v>
      </c>
      <c r="E3364">
        <v>114.8</v>
      </c>
      <c r="F3364">
        <v>94.2</v>
      </c>
      <c r="G3364">
        <v>91.6</v>
      </c>
      <c r="H3364">
        <v>112</v>
      </c>
      <c r="I3364">
        <v>115.3</v>
      </c>
      <c r="J3364">
        <v>94.4</v>
      </c>
      <c r="K3364">
        <v>94.3</v>
      </c>
      <c r="L3364" s="1" t="s">
        <v>7902</v>
      </c>
      <c r="M3364" t="s">
        <v>288</v>
      </c>
      <c r="N3364">
        <v>4</v>
      </c>
    </row>
    <row r="3365" spans="1:14" x14ac:dyDescent="0.25">
      <c r="A3365" s="3" t="str">
        <f>HYPERLINK("http://www.ncbi.nlm.nih.gov/gene/57038","57038")</f>
        <v>57038</v>
      </c>
      <c r="B3365" s="1" t="s">
        <v>7904</v>
      </c>
      <c r="C3365" t="s">
        <v>7905</v>
      </c>
      <c r="D3365">
        <v>120.3</v>
      </c>
      <c r="E3365">
        <v>122.7</v>
      </c>
      <c r="F3365">
        <v>100</v>
      </c>
      <c r="G3365">
        <v>99.8</v>
      </c>
      <c r="H3365">
        <v>128.4</v>
      </c>
      <c r="I3365">
        <v>131.30000000000001</v>
      </c>
      <c r="J3365">
        <v>100</v>
      </c>
      <c r="K3365">
        <v>100</v>
      </c>
      <c r="L3365" s="1" t="s">
        <v>7904</v>
      </c>
      <c r="M3365" t="s">
        <v>3419</v>
      </c>
      <c r="N3365">
        <v>6</v>
      </c>
    </row>
    <row r="3366" spans="1:14" x14ac:dyDescent="0.25">
      <c r="A3366" s="3" t="str">
        <f>HYPERLINK("http://www.ncbi.nlm.nih.gov/gene/5921","5921")</f>
        <v>5921</v>
      </c>
      <c r="B3366" s="1" t="s">
        <v>7906</v>
      </c>
      <c r="C3366" t="s">
        <v>7907</v>
      </c>
      <c r="D3366">
        <v>125.3</v>
      </c>
      <c r="E3366">
        <v>126.3</v>
      </c>
      <c r="F3366">
        <v>98.8</v>
      </c>
      <c r="G3366">
        <v>96.3</v>
      </c>
      <c r="H3366">
        <v>126.9</v>
      </c>
      <c r="I3366">
        <v>129.69999999999999</v>
      </c>
      <c r="J3366">
        <v>100</v>
      </c>
      <c r="K3366">
        <v>100</v>
      </c>
      <c r="L3366" s="1" t="s">
        <v>7906</v>
      </c>
      <c r="M3366" t="s">
        <v>285</v>
      </c>
      <c r="N3366">
        <v>1</v>
      </c>
    </row>
    <row r="3367" spans="1:14" x14ac:dyDescent="0.25">
      <c r="A3367" s="3" t="str">
        <f>HYPERLINK("http://www.ncbi.nlm.nih.gov/gene/158158","158158")</f>
        <v>158158</v>
      </c>
      <c r="B3367" s="1" t="s">
        <v>7908</v>
      </c>
      <c r="C3367" t="s">
        <v>7909</v>
      </c>
      <c r="D3367">
        <v>176.6</v>
      </c>
      <c r="E3367">
        <v>182</v>
      </c>
      <c r="F3367">
        <v>100</v>
      </c>
      <c r="G3367">
        <v>99.4</v>
      </c>
      <c r="H3367">
        <v>140.5</v>
      </c>
      <c r="I3367">
        <v>142.5</v>
      </c>
      <c r="J3367">
        <v>100</v>
      </c>
      <c r="K3367">
        <v>100</v>
      </c>
      <c r="L3367" s="1" t="s">
        <v>7908</v>
      </c>
      <c r="M3367" t="s">
        <v>1462</v>
      </c>
      <c r="N3367">
        <v>2</v>
      </c>
    </row>
    <row r="3368" spans="1:14" x14ac:dyDescent="0.25">
      <c r="A3368" s="3" t="str">
        <f>HYPERLINK("http://www.ncbi.nlm.nih.gov/gene/10125","10125")</f>
        <v>10125</v>
      </c>
      <c r="B3368" s="1" t="s">
        <v>7910</v>
      </c>
      <c r="C3368" t="s">
        <v>7911</v>
      </c>
      <c r="D3368">
        <v>129.5</v>
      </c>
      <c r="E3368">
        <v>129.80000000000001</v>
      </c>
      <c r="F3368">
        <v>100</v>
      </c>
      <c r="G3368">
        <v>99.6</v>
      </c>
      <c r="H3368">
        <v>141.19999999999999</v>
      </c>
      <c r="I3368">
        <v>144.69999999999999</v>
      </c>
      <c r="J3368">
        <v>100</v>
      </c>
      <c r="K3368">
        <v>100</v>
      </c>
      <c r="L3368" s="1" t="s">
        <v>7910</v>
      </c>
      <c r="M3368" t="s">
        <v>1305</v>
      </c>
      <c r="N3368">
        <v>3</v>
      </c>
    </row>
    <row r="3369" spans="1:14" x14ac:dyDescent="0.25">
      <c r="A3369" s="3" t="str">
        <f>HYPERLINK("http://www.ncbi.nlm.nih.gov/gene/10235","10235")</f>
        <v>10235</v>
      </c>
      <c r="B3369" s="1" t="s">
        <v>7912</v>
      </c>
      <c r="C3369" t="s">
        <v>7913</v>
      </c>
      <c r="D3369">
        <v>102.9</v>
      </c>
      <c r="E3369">
        <v>105</v>
      </c>
      <c r="F3369">
        <v>99.7</v>
      </c>
      <c r="G3369">
        <v>97.3</v>
      </c>
      <c r="H3369">
        <v>146</v>
      </c>
      <c r="I3369">
        <v>149.69999999999999</v>
      </c>
      <c r="J3369">
        <v>100</v>
      </c>
      <c r="K3369">
        <v>100</v>
      </c>
      <c r="L3369" s="1" t="s">
        <v>7912</v>
      </c>
      <c r="M3369" t="s">
        <v>3506</v>
      </c>
      <c r="N3369">
        <v>5</v>
      </c>
    </row>
    <row r="3370" spans="1:14" x14ac:dyDescent="0.25">
      <c r="A3370" s="3" t="str">
        <f>HYPERLINK("http://www.ncbi.nlm.nih.gov/gene/30062","30062")</f>
        <v>30062</v>
      </c>
      <c r="B3370" s="1" t="s">
        <v>7914</v>
      </c>
      <c r="C3370" t="s">
        <v>7915</v>
      </c>
      <c r="D3370">
        <v>94.1</v>
      </c>
      <c r="E3370">
        <v>96</v>
      </c>
      <c r="F3370">
        <v>96</v>
      </c>
      <c r="G3370">
        <v>87</v>
      </c>
      <c r="H3370">
        <v>124.6</v>
      </c>
      <c r="I3370">
        <v>128.30000000000001</v>
      </c>
      <c r="J3370">
        <v>100</v>
      </c>
      <c r="K3370">
        <v>98.4</v>
      </c>
      <c r="L3370" s="1" t="s">
        <v>7914</v>
      </c>
      <c r="M3370" t="s">
        <v>56</v>
      </c>
      <c r="N3370">
        <v>3</v>
      </c>
    </row>
    <row r="3371" spans="1:14" x14ac:dyDescent="0.25">
      <c r="A3371" s="3" t="str">
        <f>HYPERLINK("http://www.ncbi.nlm.nih.gov/gene/84839","84839")</f>
        <v>84839</v>
      </c>
      <c r="B3371" s="1" t="s">
        <v>7916</v>
      </c>
      <c r="C3371" t="s">
        <v>7917</v>
      </c>
      <c r="D3371">
        <v>75.7</v>
      </c>
      <c r="E3371">
        <v>76.5</v>
      </c>
      <c r="F3371">
        <v>100</v>
      </c>
      <c r="G3371">
        <v>92.3</v>
      </c>
      <c r="H3371">
        <v>168.1</v>
      </c>
      <c r="I3371">
        <v>175</v>
      </c>
      <c r="J3371">
        <v>100</v>
      </c>
      <c r="K3371">
        <v>100</v>
      </c>
      <c r="L3371" s="1" t="s">
        <v>7916</v>
      </c>
      <c r="M3371" t="s">
        <v>7918</v>
      </c>
      <c r="N3371">
        <v>2</v>
      </c>
    </row>
    <row r="3372" spans="1:14" x14ac:dyDescent="0.25">
      <c r="A3372" s="3" t="str">
        <f>HYPERLINK("http://www.ncbi.nlm.nih.gov/gene/5925","5925")</f>
        <v>5925</v>
      </c>
      <c r="B3372" s="1" t="s">
        <v>7919</v>
      </c>
      <c r="C3372" t="s">
        <v>7920</v>
      </c>
      <c r="D3372">
        <v>98.1</v>
      </c>
      <c r="E3372">
        <v>101.9</v>
      </c>
      <c r="F3372">
        <v>96.8</v>
      </c>
      <c r="G3372">
        <v>92.1</v>
      </c>
      <c r="H3372">
        <v>114.1</v>
      </c>
      <c r="I3372">
        <v>117.1</v>
      </c>
      <c r="J3372">
        <v>100</v>
      </c>
      <c r="K3372">
        <v>100</v>
      </c>
      <c r="L3372" s="1" t="s">
        <v>7919</v>
      </c>
      <c r="M3372" t="s">
        <v>389</v>
      </c>
      <c r="N3372">
        <v>2</v>
      </c>
    </row>
    <row r="3373" spans="1:14" x14ac:dyDescent="0.25">
      <c r="A3373" s="3" t="str">
        <f>HYPERLINK("http://www.ncbi.nlm.nih.gov/gene/9821","9821")</f>
        <v>9821</v>
      </c>
      <c r="B3373" s="1" t="s">
        <v>7921</v>
      </c>
      <c r="C3373" t="s">
        <v>7922</v>
      </c>
      <c r="D3373">
        <v>129.5</v>
      </c>
      <c r="E3373">
        <v>130.19999999999999</v>
      </c>
      <c r="F3373">
        <v>99.6</v>
      </c>
      <c r="G3373">
        <v>96.7</v>
      </c>
      <c r="H3373">
        <v>130.69999999999999</v>
      </c>
      <c r="I3373">
        <v>132.4</v>
      </c>
      <c r="J3373">
        <v>100</v>
      </c>
      <c r="K3373">
        <v>100</v>
      </c>
      <c r="L3373" s="1" t="s">
        <v>7921</v>
      </c>
      <c r="M3373" t="s">
        <v>22</v>
      </c>
      <c r="N3373">
        <v>1</v>
      </c>
    </row>
    <row r="3374" spans="1:14" x14ac:dyDescent="0.25">
      <c r="A3374" s="3" t="str">
        <f>HYPERLINK("http://www.ncbi.nlm.nih.gov/gene/5930","5930")</f>
        <v>5930</v>
      </c>
      <c r="B3374" s="1" t="s">
        <v>7923</v>
      </c>
      <c r="C3374" t="s">
        <v>7924</v>
      </c>
      <c r="D3374">
        <v>144.19999999999999</v>
      </c>
      <c r="E3374">
        <v>137.30000000000001</v>
      </c>
      <c r="F3374">
        <v>97.8</v>
      </c>
      <c r="G3374">
        <v>95.9</v>
      </c>
      <c r="H3374">
        <v>122.4</v>
      </c>
      <c r="I3374">
        <v>124.1</v>
      </c>
      <c r="J3374">
        <v>100</v>
      </c>
      <c r="K3374">
        <v>100</v>
      </c>
      <c r="L3374" s="1" t="s">
        <v>7923</v>
      </c>
      <c r="M3374" t="s">
        <v>5323</v>
      </c>
      <c r="N3374">
        <v>2</v>
      </c>
    </row>
    <row r="3375" spans="1:14" x14ac:dyDescent="0.25">
      <c r="A3375" s="3" t="str">
        <f>HYPERLINK("http://www.ncbi.nlm.nih.gov/gene/5932","5932")</f>
        <v>5932</v>
      </c>
      <c r="B3375" s="1" t="s">
        <v>7925</v>
      </c>
      <c r="C3375" t="s">
        <v>7926</v>
      </c>
      <c r="D3375">
        <v>148.4</v>
      </c>
      <c r="E3375">
        <v>147.19999999999999</v>
      </c>
      <c r="F3375">
        <v>100</v>
      </c>
      <c r="G3375">
        <v>99.7</v>
      </c>
      <c r="H3375">
        <v>111.4</v>
      </c>
      <c r="I3375">
        <v>113.8</v>
      </c>
      <c r="J3375">
        <v>100</v>
      </c>
      <c r="K3375">
        <v>100</v>
      </c>
      <c r="L3375" s="1" t="s">
        <v>7925</v>
      </c>
      <c r="M3375" t="s">
        <v>7927</v>
      </c>
      <c r="N3375">
        <v>6</v>
      </c>
    </row>
    <row r="3376" spans="1:14" x14ac:dyDescent="0.25">
      <c r="A3376" s="3" t="str">
        <f>HYPERLINK("http://www.ncbi.nlm.nih.gov/gene/10616","10616")</f>
        <v>10616</v>
      </c>
      <c r="B3376" s="1" t="s">
        <v>7928</v>
      </c>
      <c r="C3376" t="s">
        <v>7929</v>
      </c>
      <c r="D3376">
        <v>103.2</v>
      </c>
      <c r="E3376">
        <v>105.6</v>
      </c>
      <c r="F3376">
        <v>99.9</v>
      </c>
      <c r="G3376">
        <v>98.2</v>
      </c>
      <c r="H3376">
        <v>140.80000000000001</v>
      </c>
      <c r="I3376">
        <v>144.30000000000001</v>
      </c>
      <c r="J3376">
        <v>100</v>
      </c>
      <c r="K3376">
        <v>100</v>
      </c>
      <c r="L3376" s="1" t="s">
        <v>7928</v>
      </c>
      <c r="M3376" t="s">
        <v>7930</v>
      </c>
      <c r="N3376">
        <v>5</v>
      </c>
    </row>
    <row r="3377" spans="1:14" x14ac:dyDescent="0.25">
      <c r="A3377" s="3" t="str">
        <f>HYPERLINK("http://www.ncbi.nlm.nih.gov/gene/54715","54715")</f>
        <v>54715</v>
      </c>
      <c r="B3377" s="1" t="s">
        <v>7931</v>
      </c>
      <c r="C3377" t="s">
        <v>7932</v>
      </c>
      <c r="D3377">
        <v>175.2</v>
      </c>
      <c r="E3377">
        <v>180.1</v>
      </c>
      <c r="F3377">
        <v>89.2</v>
      </c>
      <c r="G3377">
        <v>88.8</v>
      </c>
      <c r="H3377">
        <v>140.19999999999999</v>
      </c>
      <c r="I3377">
        <v>141.69999999999999</v>
      </c>
      <c r="J3377">
        <v>99.2</v>
      </c>
      <c r="K3377">
        <v>97.7</v>
      </c>
      <c r="L3377" s="1" t="s">
        <v>7931</v>
      </c>
      <c r="M3377" t="s">
        <v>189</v>
      </c>
      <c r="N3377">
        <v>2</v>
      </c>
    </row>
    <row r="3378" spans="1:14" x14ac:dyDescent="0.25">
      <c r="A3378" s="3" t="str">
        <f>HYPERLINK("http://www.ncbi.nlm.nih.gov/gene/8241","8241")</f>
        <v>8241</v>
      </c>
      <c r="B3378" s="1" t="s">
        <v>7933</v>
      </c>
      <c r="C3378" t="s">
        <v>7934</v>
      </c>
      <c r="D3378">
        <v>120.9</v>
      </c>
      <c r="E3378">
        <v>121.7</v>
      </c>
      <c r="F3378">
        <v>99.5</v>
      </c>
      <c r="G3378">
        <v>97.1</v>
      </c>
      <c r="H3378">
        <v>132.5</v>
      </c>
      <c r="I3378">
        <v>135.6</v>
      </c>
      <c r="J3378">
        <v>100</v>
      </c>
      <c r="K3378">
        <v>100</v>
      </c>
      <c r="L3378" s="1" t="s">
        <v>7933</v>
      </c>
      <c r="M3378" t="s">
        <v>7935</v>
      </c>
      <c r="N3378">
        <v>4</v>
      </c>
    </row>
    <row r="3379" spans="1:14" x14ac:dyDescent="0.25">
      <c r="A3379" s="3" t="str">
        <f>HYPERLINK("http://www.ncbi.nlm.nih.gov/gene/282996","282996")</f>
        <v>282996</v>
      </c>
      <c r="B3379" s="1" t="s">
        <v>7936</v>
      </c>
      <c r="D3379">
        <v>197</v>
      </c>
      <c r="E3379">
        <v>193.7</v>
      </c>
      <c r="F3379">
        <v>100</v>
      </c>
      <c r="G3379">
        <v>99.9</v>
      </c>
      <c r="H3379">
        <v>152.4</v>
      </c>
      <c r="I3379">
        <v>154.30000000000001</v>
      </c>
      <c r="J3379">
        <v>100</v>
      </c>
      <c r="K3379">
        <v>100</v>
      </c>
      <c r="L3379" s="1" t="s">
        <v>7936</v>
      </c>
      <c r="M3379" t="s">
        <v>197</v>
      </c>
      <c r="N3379">
        <v>2</v>
      </c>
    </row>
    <row r="3380" spans="1:14" x14ac:dyDescent="0.25">
      <c r="A3380" s="3" t="str">
        <f>HYPERLINK("http://www.ncbi.nlm.nih.gov/gene/55131","55131")</f>
        <v>55131</v>
      </c>
      <c r="B3380" s="1" t="s">
        <v>7937</v>
      </c>
      <c r="C3380" t="s">
        <v>7938</v>
      </c>
      <c r="D3380">
        <v>147.1</v>
      </c>
      <c r="E3380">
        <v>154.80000000000001</v>
      </c>
      <c r="F3380">
        <v>100</v>
      </c>
      <c r="G3380">
        <v>100</v>
      </c>
      <c r="H3380">
        <v>144.9</v>
      </c>
      <c r="I3380">
        <v>148.69999999999999</v>
      </c>
      <c r="J3380">
        <v>100</v>
      </c>
      <c r="K3380">
        <v>100</v>
      </c>
      <c r="L3380" s="1" t="s">
        <v>7937</v>
      </c>
      <c r="M3380" t="s">
        <v>3238</v>
      </c>
      <c r="N3380">
        <v>4</v>
      </c>
    </row>
    <row r="3381" spans="1:14" x14ac:dyDescent="0.25">
      <c r="A3381" s="3" t="str">
        <f>HYPERLINK("http://www.ncbi.nlm.nih.gov/gene/9939","9939")</f>
        <v>9939</v>
      </c>
      <c r="B3381" s="1" t="s">
        <v>7939</v>
      </c>
      <c r="C3381" t="s">
        <v>7940</v>
      </c>
      <c r="D3381">
        <v>113.6</v>
      </c>
      <c r="E3381">
        <v>109.3</v>
      </c>
      <c r="F3381">
        <v>99.8</v>
      </c>
      <c r="G3381">
        <v>97.9</v>
      </c>
      <c r="H3381">
        <v>146.5</v>
      </c>
      <c r="I3381">
        <v>149.4</v>
      </c>
      <c r="J3381">
        <v>100</v>
      </c>
      <c r="K3381">
        <v>100</v>
      </c>
      <c r="L3381" s="1" t="s">
        <v>7939</v>
      </c>
      <c r="M3381" t="s">
        <v>7941</v>
      </c>
      <c r="N3381">
        <v>5</v>
      </c>
    </row>
    <row r="3382" spans="1:14" x14ac:dyDescent="0.25">
      <c r="A3382" s="3" t="str">
        <f>HYPERLINK("http://www.ncbi.nlm.nih.gov/gene/27316","27316")</f>
        <v>27316</v>
      </c>
      <c r="B3382" s="1" t="s">
        <v>7942</v>
      </c>
      <c r="C3382" t="s">
        <v>7943</v>
      </c>
      <c r="D3382">
        <v>51.9</v>
      </c>
      <c r="E3382">
        <v>51.8</v>
      </c>
      <c r="F3382">
        <v>94.6</v>
      </c>
      <c r="G3382">
        <v>84</v>
      </c>
      <c r="H3382">
        <v>138</v>
      </c>
      <c r="I3382">
        <v>142.4</v>
      </c>
      <c r="J3382">
        <v>100</v>
      </c>
      <c r="K3382">
        <v>100</v>
      </c>
      <c r="L3382" s="1" t="s">
        <v>7942</v>
      </c>
      <c r="M3382" t="s">
        <v>868</v>
      </c>
      <c r="N3382">
        <v>1</v>
      </c>
    </row>
    <row r="3383" spans="1:14" x14ac:dyDescent="0.25">
      <c r="A3383" s="3" t="str">
        <f>HYPERLINK("http://www.ncbi.nlm.nih.gov/gene/5949","5949")</f>
        <v>5949</v>
      </c>
      <c r="B3383" s="1" t="s">
        <v>7944</v>
      </c>
      <c r="C3383" t="s">
        <v>7945</v>
      </c>
      <c r="D3383">
        <v>151.1</v>
      </c>
      <c r="E3383">
        <v>150</v>
      </c>
      <c r="F3383">
        <v>100</v>
      </c>
      <c r="G3383">
        <v>100</v>
      </c>
      <c r="H3383">
        <v>156.69999999999999</v>
      </c>
      <c r="I3383">
        <v>155.30000000000001</v>
      </c>
      <c r="J3383">
        <v>100</v>
      </c>
      <c r="K3383">
        <v>100</v>
      </c>
      <c r="L3383" s="1" t="s">
        <v>7944</v>
      </c>
      <c r="M3383" t="s">
        <v>56</v>
      </c>
      <c r="N3383">
        <v>3</v>
      </c>
    </row>
    <row r="3384" spans="1:14" x14ac:dyDescent="0.25">
      <c r="A3384" s="3" t="str">
        <f>HYPERLINK("http://www.ncbi.nlm.nih.gov/gene/5950","5950")</f>
        <v>5950</v>
      </c>
      <c r="B3384" s="1" t="s">
        <v>7946</v>
      </c>
      <c r="C3384" t="s">
        <v>7947</v>
      </c>
      <c r="D3384">
        <v>134.30000000000001</v>
      </c>
      <c r="E3384">
        <v>140.5</v>
      </c>
      <c r="F3384">
        <v>99.9</v>
      </c>
      <c r="G3384">
        <v>97.7</v>
      </c>
      <c r="H3384">
        <v>131.4</v>
      </c>
      <c r="I3384">
        <v>135.30000000000001</v>
      </c>
      <c r="J3384">
        <v>100</v>
      </c>
      <c r="K3384">
        <v>100</v>
      </c>
      <c r="L3384" s="1" t="s">
        <v>7946</v>
      </c>
      <c r="M3384" t="s">
        <v>7948</v>
      </c>
      <c r="N3384">
        <v>4</v>
      </c>
    </row>
    <row r="3385" spans="1:14" x14ac:dyDescent="0.25">
      <c r="A3385" s="3" t="str">
        <f>HYPERLINK("http://www.ncbi.nlm.nih.gov/gene/3516","3516")</f>
        <v>3516</v>
      </c>
      <c r="B3385" s="1" t="s">
        <v>7949</v>
      </c>
      <c r="C3385" t="s">
        <v>7950</v>
      </c>
      <c r="D3385">
        <v>88.5</v>
      </c>
      <c r="E3385">
        <v>89.9</v>
      </c>
      <c r="F3385">
        <v>98.4</v>
      </c>
      <c r="G3385">
        <v>92.8</v>
      </c>
      <c r="H3385">
        <v>144.6</v>
      </c>
      <c r="I3385">
        <v>148</v>
      </c>
      <c r="J3385">
        <v>100</v>
      </c>
      <c r="K3385">
        <v>100</v>
      </c>
      <c r="L3385" s="1" t="s">
        <v>7949</v>
      </c>
      <c r="M3385" t="s">
        <v>7745</v>
      </c>
      <c r="N3385">
        <v>4</v>
      </c>
    </row>
    <row r="3386" spans="1:14" x14ac:dyDescent="0.25">
      <c r="A3386" s="3" t="str">
        <f>HYPERLINK("http://www.ncbi.nlm.nih.gov/gene/149041","149041")</f>
        <v>149041</v>
      </c>
      <c r="B3386" s="1" t="s">
        <v>7951</v>
      </c>
      <c r="C3386" t="s">
        <v>7952</v>
      </c>
      <c r="D3386">
        <v>138.1</v>
      </c>
      <c r="E3386">
        <v>144</v>
      </c>
      <c r="F3386">
        <v>100</v>
      </c>
      <c r="G3386">
        <v>99.4</v>
      </c>
      <c r="H3386">
        <v>140.1</v>
      </c>
      <c r="I3386">
        <v>144.4</v>
      </c>
      <c r="J3386">
        <v>100</v>
      </c>
      <c r="K3386">
        <v>100</v>
      </c>
      <c r="L3386" s="1" t="s">
        <v>7951</v>
      </c>
      <c r="M3386" t="s">
        <v>4913</v>
      </c>
      <c r="N3386">
        <v>2</v>
      </c>
    </row>
    <row r="3387" spans="1:14" x14ac:dyDescent="0.25">
      <c r="A3387" s="3" t="str">
        <f>HYPERLINK("http://www.ncbi.nlm.nih.gov/gene/55213","55213")</f>
        <v>55213</v>
      </c>
      <c r="B3387" s="1" t="s">
        <v>7953</v>
      </c>
      <c r="C3387" t="s">
        <v>7954</v>
      </c>
      <c r="D3387">
        <v>114.8</v>
      </c>
      <c r="E3387">
        <v>119.9</v>
      </c>
      <c r="F3387">
        <v>99.9</v>
      </c>
      <c r="G3387">
        <v>99.5</v>
      </c>
      <c r="H3387">
        <v>144.30000000000001</v>
      </c>
      <c r="I3387">
        <v>148.80000000000001</v>
      </c>
      <c r="J3387">
        <v>100</v>
      </c>
      <c r="K3387">
        <v>100</v>
      </c>
      <c r="L3387" s="1" t="s">
        <v>7953</v>
      </c>
      <c r="M3387" t="s">
        <v>1642</v>
      </c>
      <c r="N3387">
        <v>4</v>
      </c>
    </row>
    <row r="3388" spans="1:14" x14ac:dyDescent="0.25">
      <c r="A3388" s="3" t="str">
        <f>HYPERLINK("http://www.ncbi.nlm.nih.gov/gene/343035","343035")</f>
        <v>343035</v>
      </c>
      <c r="B3388" s="1" t="s">
        <v>7955</v>
      </c>
      <c r="C3388" t="s">
        <v>7956</v>
      </c>
      <c r="D3388">
        <v>139.5</v>
      </c>
      <c r="E3388">
        <v>147.5</v>
      </c>
      <c r="F3388">
        <v>100</v>
      </c>
      <c r="G3388">
        <v>100</v>
      </c>
      <c r="H3388">
        <v>179.2</v>
      </c>
      <c r="I3388">
        <v>186.7</v>
      </c>
      <c r="J3388">
        <v>100</v>
      </c>
      <c r="K3388">
        <v>100</v>
      </c>
      <c r="L3388" s="1" t="s">
        <v>7955</v>
      </c>
      <c r="M3388" t="s">
        <v>56</v>
      </c>
      <c r="N3388">
        <v>3</v>
      </c>
    </row>
    <row r="3389" spans="1:14" x14ac:dyDescent="0.25">
      <c r="A3389" s="3" t="str">
        <f>HYPERLINK("http://www.ncbi.nlm.nih.gov/gene/51109","51109")</f>
        <v>51109</v>
      </c>
      <c r="B3389" s="1" t="s">
        <v>7957</v>
      </c>
      <c r="C3389" t="s">
        <v>7958</v>
      </c>
      <c r="D3389">
        <v>103.2</v>
      </c>
      <c r="E3389">
        <v>107.7</v>
      </c>
      <c r="F3389">
        <v>100</v>
      </c>
      <c r="G3389">
        <v>99</v>
      </c>
      <c r="H3389">
        <v>133.30000000000001</v>
      </c>
      <c r="I3389">
        <v>137.5</v>
      </c>
      <c r="J3389">
        <v>100</v>
      </c>
      <c r="K3389">
        <v>100</v>
      </c>
      <c r="L3389" s="1" t="s">
        <v>7957</v>
      </c>
      <c r="M3389" t="s">
        <v>56</v>
      </c>
      <c r="N3389">
        <v>3</v>
      </c>
    </row>
    <row r="3390" spans="1:14" x14ac:dyDescent="0.25">
      <c r="A3390" s="3" t="str">
        <f>HYPERLINK("http://www.ncbi.nlm.nih.gov/gene/145226","145226")</f>
        <v>145226</v>
      </c>
      <c r="B3390" s="1" t="s">
        <v>7959</v>
      </c>
      <c r="C3390" t="s">
        <v>7960</v>
      </c>
      <c r="D3390">
        <v>98.9</v>
      </c>
      <c r="E3390">
        <v>102.1</v>
      </c>
      <c r="F3390">
        <v>100</v>
      </c>
      <c r="G3390">
        <v>98.6</v>
      </c>
      <c r="H3390">
        <v>113.7</v>
      </c>
      <c r="I3390">
        <v>116.3</v>
      </c>
      <c r="J3390">
        <v>100</v>
      </c>
      <c r="K3390">
        <v>100</v>
      </c>
      <c r="L3390" s="1" t="s">
        <v>7959</v>
      </c>
      <c r="M3390" t="s">
        <v>7961</v>
      </c>
      <c r="N3390">
        <v>4</v>
      </c>
    </row>
    <row r="3391" spans="1:14" x14ac:dyDescent="0.25">
      <c r="A3391" s="3" t="str">
        <f>HYPERLINK("http://www.ncbi.nlm.nih.gov/gene/5959","5959")</f>
        <v>5959</v>
      </c>
      <c r="B3391" s="1" t="s">
        <v>7962</v>
      </c>
      <c r="C3391" t="s">
        <v>7963</v>
      </c>
      <c r="D3391">
        <v>159.5</v>
      </c>
      <c r="E3391">
        <v>162.80000000000001</v>
      </c>
      <c r="F3391">
        <v>100</v>
      </c>
      <c r="G3391">
        <v>99.9</v>
      </c>
      <c r="H3391">
        <v>130</v>
      </c>
      <c r="I3391">
        <v>134.1</v>
      </c>
      <c r="J3391">
        <v>100</v>
      </c>
      <c r="K3391">
        <v>100</v>
      </c>
      <c r="L3391" s="1" t="s">
        <v>7962</v>
      </c>
      <c r="M3391" t="s">
        <v>7964</v>
      </c>
      <c r="N3391">
        <v>4</v>
      </c>
    </row>
    <row r="3392" spans="1:14" x14ac:dyDescent="0.25">
      <c r="A3392" s="3" t="str">
        <f>HYPERLINK("http://www.ncbi.nlm.nih.gov/gene/5962","5962")</f>
        <v>5962</v>
      </c>
      <c r="B3392" s="1" t="s">
        <v>7965</v>
      </c>
      <c r="C3392" t="s">
        <v>7966</v>
      </c>
      <c r="D3392">
        <v>46.6</v>
      </c>
      <c r="E3392">
        <v>47.1</v>
      </c>
      <c r="F3392">
        <v>89.1</v>
      </c>
      <c r="G3392">
        <v>71.5</v>
      </c>
      <c r="H3392">
        <v>130.19999999999999</v>
      </c>
      <c r="I3392">
        <v>134.6</v>
      </c>
      <c r="J3392">
        <v>100</v>
      </c>
      <c r="K3392">
        <v>100</v>
      </c>
      <c r="L3392" s="1" t="s">
        <v>7965</v>
      </c>
      <c r="M3392" t="s">
        <v>269</v>
      </c>
      <c r="N3392">
        <v>3</v>
      </c>
    </row>
    <row r="3393" spans="1:14" x14ac:dyDescent="0.25">
      <c r="A3393" s="3" t="str">
        <f>HYPERLINK("http://www.ncbi.nlm.nih.gov/gene/9401","9401")</f>
        <v>9401</v>
      </c>
      <c r="B3393" s="1" t="s">
        <v>7967</v>
      </c>
      <c r="C3393" t="s">
        <v>7968</v>
      </c>
      <c r="D3393">
        <v>151.19999999999999</v>
      </c>
      <c r="E3393">
        <v>149.80000000000001</v>
      </c>
      <c r="F3393">
        <v>99.8</v>
      </c>
      <c r="G3393">
        <v>98.1</v>
      </c>
      <c r="H3393">
        <v>156.19999999999999</v>
      </c>
      <c r="I3393">
        <v>158.9</v>
      </c>
      <c r="J3393">
        <v>100</v>
      </c>
      <c r="K3393">
        <v>99.9</v>
      </c>
      <c r="L3393" s="1" t="s">
        <v>7967</v>
      </c>
      <c r="M3393" t="s">
        <v>7969</v>
      </c>
      <c r="N3393">
        <v>8</v>
      </c>
    </row>
    <row r="3394" spans="1:14" x14ac:dyDescent="0.25">
      <c r="A3394" s="3" t="str">
        <f>HYPERLINK("http://www.ncbi.nlm.nih.gov/gene/65055","65055")</f>
        <v>65055</v>
      </c>
      <c r="B3394" s="1" t="s">
        <v>7970</v>
      </c>
      <c r="C3394" t="s">
        <v>7971</v>
      </c>
      <c r="D3394">
        <v>81.8</v>
      </c>
      <c r="E3394">
        <v>82.5</v>
      </c>
      <c r="F3394">
        <v>78.7</v>
      </c>
      <c r="G3394">
        <v>76.099999999999994</v>
      </c>
      <c r="H3394">
        <v>115.7</v>
      </c>
      <c r="I3394">
        <v>118.3</v>
      </c>
      <c r="J3394">
        <v>100</v>
      </c>
      <c r="K3394">
        <v>100</v>
      </c>
      <c r="L3394" s="1" t="s">
        <v>7970</v>
      </c>
      <c r="M3394" t="s">
        <v>3127</v>
      </c>
      <c r="N3394">
        <v>3</v>
      </c>
    </row>
    <row r="3395" spans="1:14" x14ac:dyDescent="0.25">
      <c r="A3395" s="3" t="str">
        <f>HYPERLINK("http://www.ncbi.nlm.nih.gov/gene/51308","51308")</f>
        <v>51308</v>
      </c>
      <c r="B3395" s="1" t="s">
        <v>7972</v>
      </c>
      <c r="C3395" t="s">
        <v>7973</v>
      </c>
      <c r="D3395">
        <v>179.1</v>
      </c>
      <c r="E3395">
        <v>184.3</v>
      </c>
      <c r="F3395">
        <v>99.9</v>
      </c>
      <c r="G3395">
        <v>98.6</v>
      </c>
      <c r="H3395">
        <v>125.2</v>
      </c>
      <c r="I3395">
        <v>127.4</v>
      </c>
      <c r="J3395">
        <v>100</v>
      </c>
      <c r="K3395">
        <v>100</v>
      </c>
      <c r="L3395" s="1" t="s">
        <v>7972</v>
      </c>
      <c r="M3395" t="s">
        <v>569</v>
      </c>
      <c r="N3395">
        <v>2</v>
      </c>
    </row>
    <row r="3396" spans="1:14" x14ac:dyDescent="0.25">
      <c r="A3396" s="3" t="str">
        <f>HYPERLINK("http://www.ncbi.nlm.nih.gov/gene/92840","92840")</f>
        <v>92840</v>
      </c>
      <c r="B3396" s="1" t="s">
        <v>7974</v>
      </c>
      <c r="C3396" t="s">
        <v>7975</v>
      </c>
      <c r="D3396">
        <v>180.7</v>
      </c>
      <c r="E3396">
        <v>187.9</v>
      </c>
      <c r="F3396">
        <v>100</v>
      </c>
      <c r="G3396">
        <v>100</v>
      </c>
      <c r="H3396">
        <v>127.7</v>
      </c>
      <c r="I3396">
        <v>131.1</v>
      </c>
      <c r="J3396">
        <v>91.5</v>
      </c>
      <c r="K3396">
        <v>87.4</v>
      </c>
      <c r="L3396" s="1" t="s">
        <v>7974</v>
      </c>
      <c r="M3396" t="s">
        <v>56</v>
      </c>
      <c r="N3396">
        <v>3</v>
      </c>
    </row>
    <row r="3397" spans="1:14" x14ac:dyDescent="0.25">
      <c r="A3397" s="3" t="str">
        <f>HYPERLINK("http://www.ncbi.nlm.nih.gov/gene/5970","5970")</f>
        <v>5970</v>
      </c>
      <c r="B3397" s="1" t="s">
        <v>7976</v>
      </c>
      <c r="C3397" t="s">
        <v>7977</v>
      </c>
      <c r="D3397">
        <v>108.1</v>
      </c>
      <c r="E3397">
        <v>110.1</v>
      </c>
      <c r="F3397">
        <v>99.6</v>
      </c>
      <c r="G3397">
        <v>98.8</v>
      </c>
      <c r="H3397">
        <v>134.69999999999999</v>
      </c>
      <c r="I3397">
        <v>138.80000000000001</v>
      </c>
      <c r="J3397">
        <v>100</v>
      </c>
      <c r="K3397">
        <v>100</v>
      </c>
      <c r="L3397" s="1" t="s">
        <v>7976</v>
      </c>
      <c r="M3397" t="s">
        <v>285</v>
      </c>
      <c r="N3397">
        <v>1</v>
      </c>
    </row>
    <row r="3398" spans="1:14" x14ac:dyDescent="0.25">
      <c r="A3398" s="3" t="str">
        <f>HYPERLINK("http://www.ncbi.nlm.nih.gov/gene/5971","5971")</f>
        <v>5971</v>
      </c>
      <c r="B3398" s="1" t="s">
        <v>7978</v>
      </c>
      <c r="C3398" t="s">
        <v>7979</v>
      </c>
      <c r="D3398">
        <v>110.2</v>
      </c>
      <c r="E3398">
        <v>115.2</v>
      </c>
      <c r="F3398">
        <v>98.8</v>
      </c>
      <c r="G3398">
        <v>88.7</v>
      </c>
      <c r="H3398">
        <v>127.7</v>
      </c>
      <c r="I3398">
        <v>130.69999999999999</v>
      </c>
      <c r="J3398">
        <v>100</v>
      </c>
      <c r="K3398">
        <v>100</v>
      </c>
      <c r="L3398" s="1" t="s">
        <v>7978</v>
      </c>
      <c r="M3398" t="s">
        <v>1097</v>
      </c>
      <c r="N3398">
        <v>3</v>
      </c>
    </row>
    <row r="3399" spans="1:14" x14ac:dyDescent="0.25">
      <c r="A3399" s="3" t="str">
        <f>HYPERLINK("http://www.ncbi.nlm.nih.gov/gene/5649","5649")</f>
        <v>5649</v>
      </c>
      <c r="B3399" s="1" t="s">
        <v>7980</v>
      </c>
      <c r="C3399" t="s">
        <v>7981</v>
      </c>
      <c r="D3399">
        <v>151.19999999999999</v>
      </c>
      <c r="E3399">
        <v>158</v>
      </c>
      <c r="F3399">
        <v>100</v>
      </c>
      <c r="G3399">
        <v>99.8</v>
      </c>
      <c r="H3399">
        <v>144.80000000000001</v>
      </c>
      <c r="I3399">
        <v>149.6</v>
      </c>
      <c r="J3399">
        <v>100</v>
      </c>
      <c r="K3399">
        <v>100</v>
      </c>
      <c r="L3399" s="1" t="s">
        <v>7980</v>
      </c>
      <c r="M3399" t="s">
        <v>228</v>
      </c>
      <c r="N3399">
        <v>3</v>
      </c>
    </row>
    <row r="3400" spans="1:14" x14ac:dyDescent="0.25">
      <c r="A3400" s="3" t="str">
        <f>HYPERLINK("http://www.ncbi.nlm.nih.gov/gene/84957","84957")</f>
        <v>84957</v>
      </c>
      <c r="B3400" s="1" t="s">
        <v>7982</v>
      </c>
      <c r="C3400" t="s">
        <v>7983</v>
      </c>
      <c r="D3400">
        <v>127.7</v>
      </c>
      <c r="E3400">
        <v>132.1</v>
      </c>
      <c r="F3400">
        <v>100</v>
      </c>
      <c r="G3400">
        <v>99.9</v>
      </c>
      <c r="H3400">
        <v>141.4</v>
      </c>
      <c r="I3400">
        <v>145.9</v>
      </c>
      <c r="J3400">
        <v>100</v>
      </c>
      <c r="K3400">
        <v>100</v>
      </c>
      <c r="L3400" s="1" t="s">
        <v>7982</v>
      </c>
      <c r="M3400" t="s">
        <v>59</v>
      </c>
      <c r="N3400">
        <v>1</v>
      </c>
    </row>
    <row r="3401" spans="1:14" x14ac:dyDescent="0.25">
      <c r="A3401" s="3" t="str">
        <f>HYPERLINK("http://www.ncbi.nlm.nih.gov/gene/5972","5972")</f>
        <v>5972</v>
      </c>
      <c r="B3401" s="1" t="s">
        <v>7984</v>
      </c>
      <c r="C3401" t="s">
        <v>7985</v>
      </c>
      <c r="D3401">
        <v>144.6</v>
      </c>
      <c r="E3401">
        <v>150.69999999999999</v>
      </c>
      <c r="F3401">
        <v>100</v>
      </c>
      <c r="G3401">
        <v>100</v>
      </c>
      <c r="H3401">
        <v>139.19999999999999</v>
      </c>
      <c r="I3401">
        <v>143.6</v>
      </c>
      <c r="J3401">
        <v>100</v>
      </c>
      <c r="K3401">
        <v>100</v>
      </c>
      <c r="L3401" s="1" t="s">
        <v>7984</v>
      </c>
      <c r="M3401" t="s">
        <v>5181</v>
      </c>
      <c r="N3401">
        <v>3</v>
      </c>
    </row>
    <row r="3402" spans="1:14" x14ac:dyDescent="0.25">
      <c r="A3402" s="3" t="str">
        <f>HYPERLINK("http://www.ncbi.nlm.nih.gov/gene/85021","85021")</f>
        <v>85021</v>
      </c>
      <c r="B3402" s="1" t="s">
        <v>7986</v>
      </c>
      <c r="C3402" t="s">
        <v>7987</v>
      </c>
      <c r="D3402">
        <v>141.30000000000001</v>
      </c>
      <c r="E3402">
        <v>147.5</v>
      </c>
      <c r="F3402">
        <v>99.6</v>
      </c>
      <c r="G3402">
        <v>97.5</v>
      </c>
      <c r="H3402">
        <v>130</v>
      </c>
      <c r="I3402">
        <v>133.6</v>
      </c>
      <c r="J3402">
        <v>100</v>
      </c>
      <c r="K3402">
        <v>100</v>
      </c>
      <c r="L3402" s="1" t="s">
        <v>7986</v>
      </c>
      <c r="M3402" t="s">
        <v>53</v>
      </c>
      <c r="N3402">
        <v>2</v>
      </c>
    </row>
    <row r="3403" spans="1:14" x14ac:dyDescent="0.25">
      <c r="A3403" s="3" t="str">
        <f>HYPERLINK("http://www.ncbi.nlm.nih.gov/gene/473","473")</f>
        <v>473</v>
      </c>
      <c r="B3403" s="1" t="s">
        <v>7988</v>
      </c>
      <c r="C3403" t="s">
        <v>7989</v>
      </c>
      <c r="D3403">
        <v>94.5</v>
      </c>
      <c r="E3403">
        <v>85.7</v>
      </c>
      <c r="F3403">
        <v>96.1</v>
      </c>
      <c r="G3403">
        <v>91.3</v>
      </c>
      <c r="H3403">
        <v>151.5</v>
      </c>
      <c r="I3403">
        <v>155.80000000000001</v>
      </c>
      <c r="J3403">
        <v>99.9</v>
      </c>
      <c r="K3403">
        <v>99.9</v>
      </c>
      <c r="L3403" s="1" t="s">
        <v>7988</v>
      </c>
      <c r="M3403" t="s">
        <v>189</v>
      </c>
      <c r="N3403">
        <v>2</v>
      </c>
    </row>
    <row r="3404" spans="1:14" x14ac:dyDescent="0.25">
      <c r="A3404" s="3" t="str">
        <f>HYPERLINK("http://www.ncbi.nlm.nih.gov/gene/5978","5978")</f>
        <v>5978</v>
      </c>
      <c r="B3404" s="1" t="s">
        <v>7990</v>
      </c>
      <c r="C3404" t="s">
        <v>7991</v>
      </c>
      <c r="D3404">
        <v>117.6</v>
      </c>
      <c r="E3404">
        <v>119</v>
      </c>
      <c r="F3404">
        <v>98.5</v>
      </c>
      <c r="G3404">
        <v>98.2</v>
      </c>
      <c r="H3404">
        <v>147.80000000000001</v>
      </c>
      <c r="I3404">
        <v>141.4</v>
      </c>
      <c r="J3404">
        <v>98.6</v>
      </c>
      <c r="K3404">
        <v>98.6</v>
      </c>
      <c r="L3404" s="1" t="s">
        <v>7990</v>
      </c>
      <c r="M3404" t="s">
        <v>7992</v>
      </c>
      <c r="N3404">
        <v>3</v>
      </c>
    </row>
    <row r="3405" spans="1:14" x14ac:dyDescent="0.25">
      <c r="A3405" s="3" t="str">
        <f>HYPERLINK("http://www.ncbi.nlm.nih.gov/gene/5979","5979")</f>
        <v>5979</v>
      </c>
      <c r="B3405" s="1" t="s">
        <v>7993</v>
      </c>
      <c r="C3405" t="s">
        <v>7994</v>
      </c>
      <c r="D3405">
        <v>135.1</v>
      </c>
      <c r="E3405">
        <v>139.5</v>
      </c>
      <c r="F3405">
        <v>99.9</v>
      </c>
      <c r="G3405">
        <v>99.1</v>
      </c>
      <c r="H3405">
        <v>147.30000000000001</v>
      </c>
      <c r="I3405">
        <v>152.5</v>
      </c>
      <c r="J3405">
        <v>100</v>
      </c>
      <c r="K3405">
        <v>100</v>
      </c>
      <c r="L3405" s="1" t="s">
        <v>7993</v>
      </c>
      <c r="M3405" t="s">
        <v>19</v>
      </c>
      <c r="N3405">
        <v>2</v>
      </c>
    </row>
    <row r="3406" spans="1:14" x14ac:dyDescent="0.25">
      <c r="A3406" s="3" t="str">
        <f>HYPERLINK("http://www.ncbi.nlm.nih.gov/gene/54463","54463")</f>
        <v>54463</v>
      </c>
      <c r="B3406" s="1" t="s">
        <v>7995</v>
      </c>
      <c r="C3406" t="s">
        <v>7996</v>
      </c>
      <c r="D3406">
        <v>140.69999999999999</v>
      </c>
      <c r="E3406">
        <v>141.19999999999999</v>
      </c>
      <c r="F3406">
        <v>98.8</v>
      </c>
      <c r="G3406">
        <v>95.1</v>
      </c>
      <c r="H3406">
        <v>125.3</v>
      </c>
      <c r="I3406">
        <v>128.1</v>
      </c>
      <c r="J3406">
        <v>100</v>
      </c>
      <c r="K3406">
        <v>100</v>
      </c>
      <c r="L3406" s="1" t="s">
        <v>7995</v>
      </c>
      <c r="M3406" t="s">
        <v>6470</v>
      </c>
      <c r="N3406">
        <v>4</v>
      </c>
    </row>
    <row r="3407" spans="1:14" x14ac:dyDescent="0.25">
      <c r="A3407" s="3" t="str">
        <f>HYPERLINK("http://www.ncbi.nlm.nih.gov/gene/5980","5980")</f>
        <v>5980</v>
      </c>
      <c r="B3407" s="1" t="s">
        <v>7997</v>
      </c>
      <c r="C3407" t="s">
        <v>7998</v>
      </c>
      <c r="D3407">
        <v>159.5</v>
      </c>
      <c r="E3407">
        <v>164</v>
      </c>
      <c r="F3407">
        <v>97.6</v>
      </c>
      <c r="G3407">
        <v>97.2</v>
      </c>
      <c r="H3407">
        <v>129.4</v>
      </c>
      <c r="I3407">
        <v>130.6</v>
      </c>
      <c r="J3407">
        <v>97.6</v>
      </c>
      <c r="K3407">
        <v>97.6</v>
      </c>
      <c r="L3407" s="1" t="s">
        <v>7997</v>
      </c>
      <c r="M3407" t="s">
        <v>189</v>
      </c>
      <c r="N3407">
        <v>2</v>
      </c>
    </row>
    <row r="3408" spans="1:14" x14ac:dyDescent="0.25">
      <c r="A3408" s="3" t="str">
        <f>HYPERLINK("http://www.ncbi.nlm.nih.gov/gene/5981","5981")</f>
        <v>5981</v>
      </c>
      <c r="B3408" s="1" t="s">
        <v>7999</v>
      </c>
      <c r="C3408" t="s">
        <v>8000</v>
      </c>
      <c r="D3408">
        <v>152.69999999999999</v>
      </c>
      <c r="E3408">
        <v>157.69999999999999</v>
      </c>
      <c r="F3408">
        <v>99.9</v>
      </c>
      <c r="G3408">
        <v>98.9</v>
      </c>
      <c r="H3408">
        <v>135.9</v>
      </c>
      <c r="I3408">
        <v>139.9</v>
      </c>
      <c r="J3408">
        <v>100</v>
      </c>
      <c r="K3408">
        <v>100</v>
      </c>
      <c r="L3408" s="1" t="s">
        <v>7999</v>
      </c>
      <c r="M3408" t="s">
        <v>53</v>
      </c>
      <c r="N3408">
        <v>2</v>
      </c>
    </row>
    <row r="3409" spans="1:14" x14ac:dyDescent="0.25">
      <c r="A3409" s="3" t="str">
        <f>HYPERLINK("http://www.ncbi.nlm.nih.gov/gene/91869","91869")</f>
        <v>91869</v>
      </c>
      <c r="B3409" s="1" t="s">
        <v>8001</v>
      </c>
      <c r="C3409" t="s">
        <v>8002</v>
      </c>
      <c r="D3409">
        <v>120.7</v>
      </c>
      <c r="E3409">
        <v>126.6</v>
      </c>
      <c r="F3409">
        <v>99.8</v>
      </c>
      <c r="G3409">
        <v>99.6</v>
      </c>
      <c r="H3409">
        <v>114.3</v>
      </c>
      <c r="I3409">
        <v>117.2</v>
      </c>
      <c r="J3409">
        <v>100</v>
      </c>
      <c r="K3409">
        <v>100</v>
      </c>
      <c r="L3409" s="1" t="s">
        <v>8001</v>
      </c>
      <c r="M3409" t="s">
        <v>38</v>
      </c>
      <c r="N3409">
        <v>4</v>
      </c>
    </row>
    <row r="3410" spans="1:14" x14ac:dyDescent="0.25">
      <c r="A3410" s="3" t="str">
        <f>HYPERLINK("http://www.ncbi.nlm.nih.gov/gene/55159","55159")</f>
        <v>55159</v>
      </c>
      <c r="B3410" s="1" t="s">
        <v>8003</v>
      </c>
      <c r="C3410" t="s">
        <v>8004</v>
      </c>
      <c r="D3410">
        <v>124.2</v>
      </c>
      <c r="E3410">
        <v>128.69999999999999</v>
      </c>
      <c r="F3410">
        <v>100</v>
      </c>
      <c r="G3410">
        <v>99.8</v>
      </c>
      <c r="H3410">
        <v>137.1</v>
      </c>
      <c r="I3410">
        <v>141.4</v>
      </c>
      <c r="J3410">
        <v>100</v>
      </c>
      <c r="K3410">
        <v>100</v>
      </c>
      <c r="L3410" s="1" t="s">
        <v>8003</v>
      </c>
      <c r="M3410" t="s">
        <v>3235</v>
      </c>
      <c r="N3410">
        <v>3</v>
      </c>
    </row>
    <row r="3411" spans="1:14" x14ac:dyDescent="0.25">
      <c r="A3411" s="3" t="str">
        <f>HYPERLINK("http://www.ncbi.nlm.nih.gov/gene/5991","5991")</f>
        <v>5991</v>
      </c>
      <c r="B3411" s="1" t="s">
        <v>8005</v>
      </c>
      <c r="D3411">
        <v>169.3</v>
      </c>
      <c r="E3411">
        <v>174.4</v>
      </c>
      <c r="F3411">
        <v>100</v>
      </c>
      <c r="G3411">
        <v>100</v>
      </c>
      <c r="H3411">
        <v>143.4</v>
      </c>
      <c r="I3411">
        <v>147.4</v>
      </c>
      <c r="J3411">
        <v>100</v>
      </c>
      <c r="K3411">
        <v>100</v>
      </c>
      <c r="L3411" s="1" t="s">
        <v>8005</v>
      </c>
      <c r="M3411" t="s">
        <v>189</v>
      </c>
      <c r="N3411">
        <v>2</v>
      </c>
    </row>
    <row r="3412" spans="1:14" x14ac:dyDescent="0.25">
      <c r="A3412" s="3" t="str">
        <f>HYPERLINK("http://www.ncbi.nlm.nih.gov/gene/5993","5993")</f>
        <v>5993</v>
      </c>
      <c r="B3412" s="1" t="s">
        <v>8006</v>
      </c>
      <c r="D3412">
        <v>120.1</v>
      </c>
      <c r="E3412">
        <v>119.8</v>
      </c>
      <c r="F3412">
        <v>99.7</v>
      </c>
      <c r="G3412">
        <v>98.1</v>
      </c>
      <c r="H3412">
        <v>137.6</v>
      </c>
      <c r="I3412">
        <v>136.19999999999999</v>
      </c>
      <c r="J3412">
        <v>100</v>
      </c>
      <c r="K3412">
        <v>100</v>
      </c>
      <c r="L3412" s="1" t="s">
        <v>8006</v>
      </c>
      <c r="M3412" t="s">
        <v>1551</v>
      </c>
      <c r="N3412">
        <v>4</v>
      </c>
    </row>
    <row r="3413" spans="1:14" x14ac:dyDescent="0.25">
      <c r="A3413" s="3" t="str">
        <f>HYPERLINK("http://www.ncbi.nlm.nih.gov/gene/222546","222546")</f>
        <v>222546</v>
      </c>
      <c r="B3413" s="1" t="s">
        <v>8007</v>
      </c>
      <c r="C3413" t="s">
        <v>8008</v>
      </c>
      <c r="D3413">
        <v>173.2</v>
      </c>
      <c r="E3413">
        <v>177.2</v>
      </c>
      <c r="F3413">
        <v>100</v>
      </c>
      <c r="G3413">
        <v>99.6</v>
      </c>
      <c r="H3413">
        <v>134.9</v>
      </c>
      <c r="I3413">
        <v>139.1</v>
      </c>
      <c r="J3413">
        <v>100</v>
      </c>
      <c r="K3413">
        <v>100</v>
      </c>
      <c r="L3413" s="1" t="s">
        <v>8007</v>
      </c>
      <c r="M3413" t="s">
        <v>65</v>
      </c>
      <c r="N3413">
        <v>3</v>
      </c>
    </row>
    <row r="3414" spans="1:14" x14ac:dyDescent="0.25">
      <c r="A3414" s="3" t="str">
        <f>HYPERLINK("http://www.ncbi.nlm.nih.gov/gene/8625","8625")</f>
        <v>8625</v>
      </c>
      <c r="B3414" s="1" t="s">
        <v>8009</v>
      </c>
      <c r="C3414" t="s">
        <v>8010</v>
      </c>
      <c r="D3414">
        <v>125.9</v>
      </c>
      <c r="E3414">
        <v>130</v>
      </c>
      <c r="F3414">
        <v>100</v>
      </c>
      <c r="G3414">
        <v>99.5</v>
      </c>
      <c r="H3414">
        <v>129.9</v>
      </c>
      <c r="I3414">
        <v>132</v>
      </c>
      <c r="J3414">
        <v>100</v>
      </c>
      <c r="K3414">
        <v>100</v>
      </c>
      <c r="L3414" s="1" t="s">
        <v>8009</v>
      </c>
      <c r="M3414" t="s">
        <v>1551</v>
      </c>
      <c r="N3414">
        <v>4</v>
      </c>
    </row>
    <row r="3415" spans="1:14" x14ac:dyDescent="0.25">
      <c r="A3415" s="3" t="str">
        <f>HYPERLINK("http://www.ncbi.nlm.nih.gov/gene/5994","5994")</f>
        <v>5994</v>
      </c>
      <c r="B3415" s="1" t="s">
        <v>8011</v>
      </c>
      <c r="D3415">
        <v>107.6</v>
      </c>
      <c r="E3415">
        <v>116.2</v>
      </c>
      <c r="F3415">
        <v>99.3</v>
      </c>
      <c r="G3415">
        <v>97</v>
      </c>
      <c r="H3415">
        <v>136.4</v>
      </c>
      <c r="I3415">
        <v>150.6</v>
      </c>
      <c r="J3415">
        <v>100</v>
      </c>
      <c r="K3415">
        <v>99.9</v>
      </c>
      <c r="L3415" s="1" t="s">
        <v>8011</v>
      </c>
      <c r="M3415" t="s">
        <v>1551</v>
      </c>
      <c r="N3415">
        <v>4</v>
      </c>
    </row>
    <row r="3416" spans="1:14" x14ac:dyDescent="0.25">
      <c r="A3416" s="3" t="str">
        <f>HYPERLINK("http://www.ncbi.nlm.nih.gov/gene/5995","5995")</f>
        <v>5995</v>
      </c>
      <c r="B3416" s="1" t="s">
        <v>8012</v>
      </c>
      <c r="C3416" t="s">
        <v>8013</v>
      </c>
      <c r="D3416">
        <v>137.4</v>
      </c>
      <c r="E3416">
        <v>144.69999999999999</v>
      </c>
      <c r="F3416">
        <v>99</v>
      </c>
      <c r="G3416">
        <v>98.2</v>
      </c>
      <c r="H3416">
        <v>143.80000000000001</v>
      </c>
      <c r="I3416">
        <v>148.6</v>
      </c>
      <c r="J3416">
        <v>99</v>
      </c>
      <c r="K3416">
        <v>99</v>
      </c>
      <c r="L3416" s="1" t="s">
        <v>8012</v>
      </c>
      <c r="M3416" t="s">
        <v>8014</v>
      </c>
      <c r="N3416">
        <v>2</v>
      </c>
    </row>
    <row r="3417" spans="1:14" x14ac:dyDescent="0.25">
      <c r="A3417" s="3" t="str">
        <f>HYPERLINK("http://www.ncbi.nlm.nih.gov/gene/8787","8787")</f>
        <v>8787</v>
      </c>
      <c r="B3417" s="1" t="s">
        <v>8015</v>
      </c>
      <c r="C3417" t="s">
        <v>8016</v>
      </c>
      <c r="D3417">
        <v>124.4</v>
      </c>
      <c r="E3417">
        <v>121.1</v>
      </c>
      <c r="F3417">
        <v>98.5</v>
      </c>
      <c r="G3417">
        <v>97.1</v>
      </c>
      <c r="H3417">
        <v>139.1</v>
      </c>
      <c r="I3417">
        <v>139.30000000000001</v>
      </c>
      <c r="J3417">
        <v>100</v>
      </c>
      <c r="K3417">
        <v>100</v>
      </c>
      <c r="L3417" s="1" t="s">
        <v>8015</v>
      </c>
      <c r="M3417" t="s">
        <v>8017</v>
      </c>
      <c r="N3417">
        <v>2</v>
      </c>
    </row>
    <row r="3418" spans="1:14" x14ac:dyDescent="0.25">
      <c r="A3418" s="3" t="str">
        <f>HYPERLINK("http://www.ncbi.nlm.nih.gov/gene/388531","388531")</f>
        <v>388531</v>
      </c>
      <c r="B3418" s="1" t="s">
        <v>8018</v>
      </c>
      <c r="C3418" t="s">
        <v>8019</v>
      </c>
      <c r="D3418">
        <v>115.7</v>
      </c>
      <c r="E3418">
        <v>94.3</v>
      </c>
      <c r="F3418">
        <v>99.6</v>
      </c>
      <c r="G3418">
        <v>95</v>
      </c>
      <c r="H3418">
        <v>116</v>
      </c>
      <c r="I3418">
        <v>117.6</v>
      </c>
      <c r="J3418">
        <v>100</v>
      </c>
      <c r="K3418">
        <v>100</v>
      </c>
      <c r="L3418" s="1" t="s">
        <v>8018</v>
      </c>
      <c r="M3418" t="s">
        <v>8017</v>
      </c>
      <c r="N3418">
        <v>2</v>
      </c>
    </row>
    <row r="3419" spans="1:14" x14ac:dyDescent="0.25">
      <c r="A3419" s="3" t="str">
        <f>HYPERLINK("http://www.ncbi.nlm.nih.gov/gene/6005","6005")</f>
        <v>6005</v>
      </c>
      <c r="B3419" s="1" t="s">
        <v>8020</v>
      </c>
      <c r="C3419" t="s">
        <v>8021</v>
      </c>
      <c r="D3419">
        <v>144.1</v>
      </c>
      <c r="E3419">
        <v>152.19999999999999</v>
      </c>
      <c r="F3419">
        <v>100</v>
      </c>
      <c r="G3419">
        <v>99.7</v>
      </c>
      <c r="H3419">
        <v>145</v>
      </c>
      <c r="I3419">
        <v>149</v>
      </c>
      <c r="J3419">
        <v>100</v>
      </c>
      <c r="K3419">
        <v>100</v>
      </c>
      <c r="L3419" s="1" t="s">
        <v>8020</v>
      </c>
      <c r="M3419" t="s">
        <v>285</v>
      </c>
      <c r="N3419">
        <v>1</v>
      </c>
    </row>
    <row r="3420" spans="1:14" x14ac:dyDescent="0.25">
      <c r="A3420" s="3" t="str">
        <f>HYPERLINK("http://www.ncbi.nlm.nih.gov/gene/79651","79651")</f>
        <v>79651</v>
      </c>
      <c r="B3420" s="1" t="s">
        <v>8022</v>
      </c>
      <c r="C3420" t="s">
        <v>8023</v>
      </c>
      <c r="D3420">
        <v>97.8</v>
      </c>
      <c r="E3420">
        <v>101.4</v>
      </c>
      <c r="F3420">
        <v>99.9</v>
      </c>
      <c r="G3420">
        <v>98.6</v>
      </c>
      <c r="H3420">
        <v>136.5</v>
      </c>
      <c r="I3420">
        <v>139.9</v>
      </c>
      <c r="J3420">
        <v>100</v>
      </c>
      <c r="K3420">
        <v>100</v>
      </c>
      <c r="L3420" s="1" t="s">
        <v>8022</v>
      </c>
      <c r="M3420" t="s">
        <v>653</v>
      </c>
      <c r="N3420">
        <v>3</v>
      </c>
    </row>
    <row r="3421" spans="1:14" x14ac:dyDescent="0.25">
      <c r="A3421" s="3" t="str">
        <f>HYPERLINK("http://www.ncbi.nlm.nih.gov/gene/6006","6006")</f>
        <v>6006</v>
      </c>
      <c r="B3421" s="1" t="s">
        <v>8024</v>
      </c>
      <c r="C3421" t="s">
        <v>8025</v>
      </c>
      <c r="D3421">
        <v>161.80000000000001</v>
      </c>
      <c r="E3421">
        <v>167.3</v>
      </c>
      <c r="F3421">
        <v>98.1</v>
      </c>
      <c r="G3421">
        <v>98.1</v>
      </c>
      <c r="H3421">
        <v>166</v>
      </c>
      <c r="I3421">
        <v>170.6</v>
      </c>
      <c r="J3421">
        <v>97.6</v>
      </c>
      <c r="K3421">
        <v>97.5</v>
      </c>
      <c r="L3421" s="1" t="s">
        <v>8024</v>
      </c>
      <c r="M3421" t="s">
        <v>22</v>
      </c>
      <c r="N3421">
        <v>1</v>
      </c>
    </row>
    <row r="3422" spans="1:14" x14ac:dyDescent="0.25">
      <c r="A3422" s="3" t="str">
        <f>HYPERLINK("http://www.ncbi.nlm.nih.gov/gene/6009","6009")</f>
        <v>6009</v>
      </c>
      <c r="B3422" s="1" t="s">
        <v>8026</v>
      </c>
      <c r="C3422" t="s">
        <v>8027</v>
      </c>
      <c r="D3422">
        <v>45</v>
      </c>
      <c r="E3422">
        <v>43.8</v>
      </c>
      <c r="F3422">
        <v>88.8</v>
      </c>
      <c r="G3422">
        <v>75.400000000000006</v>
      </c>
      <c r="H3422">
        <v>110.7</v>
      </c>
      <c r="I3422">
        <v>112.7</v>
      </c>
      <c r="J3422">
        <v>100</v>
      </c>
      <c r="K3422">
        <v>100</v>
      </c>
      <c r="L3422" s="1" t="s">
        <v>8026</v>
      </c>
      <c r="M3422" t="s">
        <v>189</v>
      </c>
      <c r="N3422">
        <v>2</v>
      </c>
    </row>
    <row r="3423" spans="1:14" x14ac:dyDescent="0.25">
      <c r="A3423" s="3" t="str">
        <f>HYPERLINK("http://www.ncbi.nlm.nih.gov/gene/6010","6010")</f>
        <v>6010</v>
      </c>
      <c r="B3423" s="1" t="s">
        <v>8028</v>
      </c>
      <c r="C3423" t="s">
        <v>8029</v>
      </c>
      <c r="D3423">
        <v>169.4</v>
      </c>
      <c r="E3423">
        <v>172.6</v>
      </c>
      <c r="F3423">
        <v>100</v>
      </c>
      <c r="G3423">
        <v>100</v>
      </c>
      <c r="H3423">
        <v>170.6</v>
      </c>
      <c r="I3423">
        <v>176</v>
      </c>
      <c r="J3423">
        <v>100</v>
      </c>
      <c r="K3423">
        <v>100</v>
      </c>
      <c r="L3423" s="1" t="s">
        <v>8028</v>
      </c>
      <c r="M3423" t="s">
        <v>8030</v>
      </c>
      <c r="N3423">
        <v>3</v>
      </c>
    </row>
    <row r="3424" spans="1:14" x14ac:dyDescent="0.25">
      <c r="A3424" s="3" t="str">
        <f>HYPERLINK("http://www.ncbi.nlm.nih.gov/gene/387","387")</f>
        <v>387</v>
      </c>
      <c r="B3424" s="1" t="s">
        <v>8031</v>
      </c>
      <c r="C3424" t="s">
        <v>8032</v>
      </c>
      <c r="D3424">
        <v>92</v>
      </c>
      <c r="E3424">
        <v>93.7</v>
      </c>
      <c r="F3424">
        <v>81.2</v>
      </c>
      <c r="G3424">
        <v>80.7</v>
      </c>
      <c r="H3424">
        <v>115.1</v>
      </c>
      <c r="I3424">
        <v>118.9</v>
      </c>
      <c r="J3424">
        <v>80.7</v>
      </c>
      <c r="K3424">
        <v>80.7</v>
      </c>
      <c r="L3424" s="1" t="s">
        <v>8031</v>
      </c>
      <c r="M3424" t="s">
        <v>29</v>
      </c>
      <c r="N3424">
        <v>2</v>
      </c>
    </row>
    <row r="3425" spans="1:14" x14ac:dyDescent="0.25">
      <c r="A3425" s="3" t="str">
        <f>HYPERLINK("http://www.ncbi.nlm.nih.gov/gene/23221","23221")</f>
        <v>23221</v>
      </c>
      <c r="B3425" s="1" t="s">
        <v>8033</v>
      </c>
      <c r="C3425" t="s">
        <v>8034</v>
      </c>
      <c r="D3425">
        <v>207.4</v>
      </c>
      <c r="E3425">
        <v>213.7</v>
      </c>
      <c r="F3425">
        <v>100</v>
      </c>
      <c r="G3425">
        <v>100</v>
      </c>
      <c r="H3425">
        <v>149.69999999999999</v>
      </c>
      <c r="I3425">
        <v>152.4</v>
      </c>
      <c r="J3425">
        <v>100</v>
      </c>
      <c r="K3425">
        <v>100</v>
      </c>
      <c r="L3425" s="1" t="s">
        <v>8033</v>
      </c>
      <c r="M3425" t="s">
        <v>189</v>
      </c>
      <c r="N3425">
        <v>2</v>
      </c>
    </row>
    <row r="3426" spans="1:14" x14ac:dyDescent="0.25">
      <c r="A3426" s="3" t="str">
        <f>HYPERLINK("http://www.ncbi.nlm.nih.gov/gene/391","391")</f>
        <v>391</v>
      </c>
      <c r="B3426" s="1" t="s">
        <v>8035</v>
      </c>
      <c r="C3426" t="s">
        <v>8036</v>
      </c>
      <c r="D3426">
        <v>261.89999999999998</v>
      </c>
      <c r="E3426">
        <v>264.8</v>
      </c>
      <c r="F3426">
        <v>100</v>
      </c>
      <c r="G3426">
        <v>100</v>
      </c>
      <c r="H3426">
        <v>154.9</v>
      </c>
      <c r="I3426">
        <v>150.30000000000001</v>
      </c>
      <c r="J3426">
        <v>100</v>
      </c>
      <c r="K3426">
        <v>100</v>
      </c>
      <c r="L3426" s="1" t="s">
        <v>8035</v>
      </c>
      <c r="M3426" t="s">
        <v>5591</v>
      </c>
      <c r="N3426">
        <v>2</v>
      </c>
    </row>
    <row r="3427" spans="1:14" x14ac:dyDescent="0.25">
      <c r="A3427" s="3" t="str">
        <f>HYPERLINK("http://www.ncbi.nlm.nih.gov/gene/399","399")</f>
        <v>399</v>
      </c>
      <c r="B3427" s="1" t="s">
        <v>8037</v>
      </c>
      <c r="C3427" t="s">
        <v>8038</v>
      </c>
      <c r="D3427">
        <v>143.30000000000001</v>
      </c>
      <c r="E3427">
        <v>148.80000000000001</v>
      </c>
      <c r="F3427">
        <v>100</v>
      </c>
      <c r="G3427">
        <v>100</v>
      </c>
      <c r="H3427">
        <v>161.19999999999999</v>
      </c>
      <c r="I3427">
        <v>167.5</v>
      </c>
      <c r="J3427">
        <v>100</v>
      </c>
      <c r="K3427">
        <v>100</v>
      </c>
      <c r="L3427" s="1" t="s">
        <v>8037</v>
      </c>
      <c r="M3427" t="s">
        <v>502</v>
      </c>
      <c r="N3427">
        <v>2</v>
      </c>
    </row>
    <row r="3428" spans="1:14" x14ac:dyDescent="0.25">
      <c r="A3428" s="3" t="str">
        <f>HYPERLINK("http://www.ncbi.nlm.nih.gov/gene/57589","57589")</f>
        <v>57589</v>
      </c>
      <c r="B3428" s="1" t="s">
        <v>8039</v>
      </c>
      <c r="C3428" t="s">
        <v>8040</v>
      </c>
      <c r="D3428">
        <v>159.5</v>
      </c>
      <c r="E3428">
        <v>162</v>
      </c>
      <c r="F3428">
        <v>100</v>
      </c>
      <c r="G3428">
        <v>99.9</v>
      </c>
      <c r="H3428">
        <v>139.5</v>
      </c>
      <c r="I3428">
        <v>143.30000000000001</v>
      </c>
      <c r="J3428">
        <v>100</v>
      </c>
      <c r="K3428">
        <v>100</v>
      </c>
      <c r="L3428" s="1" t="s">
        <v>8039</v>
      </c>
      <c r="M3428" t="s">
        <v>50</v>
      </c>
      <c r="N3428">
        <v>2</v>
      </c>
    </row>
    <row r="3429" spans="1:14" x14ac:dyDescent="0.25">
      <c r="A3429" s="3" t="str">
        <f>HYPERLINK("http://www.ncbi.nlm.nih.gov/gene/22999","22999")</f>
        <v>22999</v>
      </c>
      <c r="B3429" s="1" t="s">
        <v>8041</v>
      </c>
      <c r="C3429" t="s">
        <v>8042</v>
      </c>
      <c r="D3429">
        <v>137.4</v>
      </c>
      <c r="E3429">
        <v>138.1</v>
      </c>
      <c r="F3429">
        <v>99.8</v>
      </c>
      <c r="G3429">
        <v>97.7</v>
      </c>
      <c r="H3429">
        <v>125.7</v>
      </c>
      <c r="I3429">
        <v>129.4</v>
      </c>
      <c r="J3429">
        <v>100</v>
      </c>
      <c r="K3429">
        <v>100</v>
      </c>
      <c r="L3429" s="1" t="s">
        <v>8041</v>
      </c>
      <c r="M3429" t="s">
        <v>793</v>
      </c>
      <c r="N3429">
        <v>2</v>
      </c>
    </row>
    <row r="3430" spans="1:14" x14ac:dyDescent="0.25">
      <c r="A3430" s="3" t="str">
        <f>HYPERLINK("http://www.ncbi.nlm.nih.gov/gene/9699","9699")</f>
        <v>9699</v>
      </c>
      <c r="B3430" s="1" t="s">
        <v>8043</v>
      </c>
      <c r="C3430" t="s">
        <v>8044</v>
      </c>
      <c r="D3430">
        <v>143.80000000000001</v>
      </c>
      <c r="E3430">
        <v>148.9</v>
      </c>
      <c r="F3430">
        <v>96.7</v>
      </c>
      <c r="G3430">
        <v>95.3</v>
      </c>
      <c r="H3430">
        <v>129.69999999999999</v>
      </c>
      <c r="I3430">
        <v>133.1</v>
      </c>
      <c r="J3430">
        <v>97.8</v>
      </c>
      <c r="K3430">
        <v>97.7</v>
      </c>
      <c r="L3430" s="1" t="s">
        <v>8043</v>
      </c>
      <c r="M3430" t="s">
        <v>1642</v>
      </c>
      <c r="N3430">
        <v>4</v>
      </c>
    </row>
    <row r="3431" spans="1:14" x14ac:dyDescent="0.25">
      <c r="A3431" s="3" t="str">
        <f>HYPERLINK("http://www.ncbi.nlm.nih.gov/gene/54453","54453")</f>
        <v>54453</v>
      </c>
      <c r="B3431" s="1" t="s">
        <v>8045</v>
      </c>
      <c r="C3431" t="s">
        <v>8046</v>
      </c>
      <c r="D3431">
        <v>141.5</v>
      </c>
      <c r="E3431">
        <v>144.9</v>
      </c>
      <c r="F3431">
        <v>100</v>
      </c>
      <c r="G3431">
        <v>100</v>
      </c>
      <c r="H3431">
        <v>145</v>
      </c>
      <c r="I3431">
        <v>146.19999999999999</v>
      </c>
      <c r="J3431">
        <v>100</v>
      </c>
      <c r="K3431">
        <v>100</v>
      </c>
      <c r="L3431" s="1" t="s">
        <v>8045</v>
      </c>
      <c r="M3431" t="s">
        <v>246</v>
      </c>
      <c r="N3431">
        <v>3</v>
      </c>
    </row>
    <row r="3432" spans="1:14" x14ac:dyDescent="0.25">
      <c r="A3432" s="3" t="str">
        <f>HYPERLINK("http://www.ncbi.nlm.nih.gov/gene/60561","60561")</f>
        <v>60561</v>
      </c>
      <c r="B3432" s="1" t="s">
        <v>8047</v>
      </c>
      <c r="C3432" t="s">
        <v>8048</v>
      </c>
      <c r="D3432">
        <v>187.3</v>
      </c>
      <c r="E3432">
        <v>195.2</v>
      </c>
      <c r="F3432">
        <v>99.9</v>
      </c>
      <c r="G3432">
        <v>98.6</v>
      </c>
      <c r="H3432">
        <v>130.4</v>
      </c>
      <c r="I3432">
        <v>134.80000000000001</v>
      </c>
      <c r="J3432">
        <v>100</v>
      </c>
      <c r="K3432">
        <v>100</v>
      </c>
      <c r="L3432" s="1" t="s">
        <v>8047</v>
      </c>
      <c r="M3432" t="s">
        <v>116</v>
      </c>
      <c r="N3432">
        <v>3</v>
      </c>
    </row>
    <row r="3433" spans="1:14" x14ac:dyDescent="0.25">
      <c r="A3433" s="3" t="str">
        <f>HYPERLINK("http://www.ncbi.nlm.nih.gov/gene/8737","8737")</f>
        <v>8737</v>
      </c>
      <c r="B3433" s="1" t="s">
        <v>8049</v>
      </c>
      <c r="C3433" t="s">
        <v>8050</v>
      </c>
      <c r="D3433">
        <v>111.2</v>
      </c>
      <c r="E3433">
        <v>118.2</v>
      </c>
      <c r="F3433">
        <v>100</v>
      </c>
      <c r="G3433">
        <v>99</v>
      </c>
      <c r="H3433">
        <v>138.4</v>
      </c>
      <c r="I3433">
        <v>140.5</v>
      </c>
      <c r="J3433">
        <v>100</v>
      </c>
      <c r="K3433">
        <v>100</v>
      </c>
      <c r="L3433" s="1" t="s">
        <v>8049</v>
      </c>
      <c r="M3433" t="s">
        <v>379</v>
      </c>
      <c r="N3433">
        <v>3</v>
      </c>
    </row>
    <row r="3434" spans="1:14" x14ac:dyDescent="0.25">
      <c r="A3434" s="3" t="str">
        <f>HYPERLINK("http://www.ncbi.nlm.nih.gov/gene/54101","54101")</f>
        <v>54101</v>
      </c>
      <c r="B3434" s="1" t="s">
        <v>8051</v>
      </c>
      <c r="C3434" t="s">
        <v>8052</v>
      </c>
      <c r="D3434">
        <v>138</v>
      </c>
      <c r="E3434">
        <v>144.6</v>
      </c>
      <c r="F3434">
        <v>100</v>
      </c>
      <c r="G3434">
        <v>99.9</v>
      </c>
      <c r="H3434">
        <v>169.8</v>
      </c>
      <c r="I3434">
        <v>173.5</v>
      </c>
      <c r="J3434">
        <v>100</v>
      </c>
      <c r="K3434">
        <v>100</v>
      </c>
      <c r="L3434" s="1" t="s">
        <v>8051</v>
      </c>
      <c r="M3434" t="s">
        <v>8053</v>
      </c>
      <c r="N3434">
        <v>7</v>
      </c>
    </row>
    <row r="3435" spans="1:14" x14ac:dyDescent="0.25">
      <c r="A3435" s="3" t="str">
        <f>HYPERLINK("http://www.ncbi.nlm.nih.gov/gene/9750","9750")</f>
        <v>9750</v>
      </c>
      <c r="B3435" s="1" t="s">
        <v>8054</v>
      </c>
      <c r="C3435" t="s">
        <v>8055</v>
      </c>
      <c r="D3435">
        <v>130.80000000000001</v>
      </c>
      <c r="E3435">
        <v>133.30000000000001</v>
      </c>
      <c r="F3435">
        <v>100</v>
      </c>
      <c r="G3435">
        <v>99.8</v>
      </c>
      <c r="H3435">
        <v>135.9</v>
      </c>
      <c r="I3435">
        <v>139</v>
      </c>
      <c r="J3435">
        <v>100</v>
      </c>
      <c r="K3435">
        <v>100</v>
      </c>
      <c r="L3435" s="1" t="s">
        <v>8054</v>
      </c>
      <c r="M3435" t="s">
        <v>1687</v>
      </c>
      <c r="N3435">
        <v>3</v>
      </c>
    </row>
    <row r="3436" spans="1:14" x14ac:dyDescent="0.25">
      <c r="A3436" s="3" t="str">
        <f>HYPERLINK("http://www.ncbi.nlm.nih.gov/gene/134701","134701")</f>
        <v>134701</v>
      </c>
      <c r="B3436" s="1" t="s">
        <v>8056</v>
      </c>
      <c r="C3436" t="s">
        <v>8057</v>
      </c>
      <c r="D3436">
        <v>71.599999999999994</v>
      </c>
      <c r="E3436">
        <v>73</v>
      </c>
      <c r="F3436">
        <v>100</v>
      </c>
      <c r="G3436">
        <v>97.9</v>
      </c>
      <c r="H3436">
        <v>120.1</v>
      </c>
      <c r="I3436">
        <v>122.1</v>
      </c>
      <c r="J3436">
        <v>100</v>
      </c>
      <c r="K3436">
        <v>100</v>
      </c>
      <c r="L3436" s="1" t="s">
        <v>8056</v>
      </c>
      <c r="M3436" t="s">
        <v>1168</v>
      </c>
      <c r="N3436">
        <v>3</v>
      </c>
    </row>
    <row r="3437" spans="1:14" x14ac:dyDescent="0.25">
      <c r="A3437" s="3" t="str">
        <f>HYPERLINK("http://www.ncbi.nlm.nih.gov/gene/6016","6016")</f>
        <v>6016</v>
      </c>
      <c r="B3437" s="1" t="s">
        <v>8058</v>
      </c>
      <c r="C3437" t="s">
        <v>8059</v>
      </c>
      <c r="D3437">
        <v>170.9</v>
      </c>
      <c r="E3437">
        <v>178.3</v>
      </c>
      <c r="F3437">
        <v>100</v>
      </c>
      <c r="G3437">
        <v>100</v>
      </c>
      <c r="H3437">
        <v>131.19999999999999</v>
      </c>
      <c r="I3437">
        <v>135.6</v>
      </c>
      <c r="J3437">
        <v>100</v>
      </c>
      <c r="K3437">
        <v>100</v>
      </c>
      <c r="L3437" s="1" t="s">
        <v>8058</v>
      </c>
      <c r="M3437" t="s">
        <v>8060</v>
      </c>
      <c r="N3437">
        <v>7</v>
      </c>
    </row>
    <row r="3438" spans="1:14" x14ac:dyDescent="0.25">
      <c r="A3438" s="3" t="str">
        <f>HYPERLINK("http://www.ncbi.nlm.nih.gov/gene/6017","6017")</f>
        <v>6017</v>
      </c>
      <c r="B3438" s="1" t="s">
        <v>8061</v>
      </c>
      <c r="C3438" t="s">
        <v>8062</v>
      </c>
      <c r="D3438">
        <v>128.1</v>
      </c>
      <c r="E3438">
        <v>133.4</v>
      </c>
      <c r="F3438">
        <v>100</v>
      </c>
      <c r="G3438">
        <v>99.9</v>
      </c>
      <c r="H3438">
        <v>135.19999999999999</v>
      </c>
      <c r="I3438">
        <v>139.4</v>
      </c>
      <c r="J3438">
        <v>100</v>
      </c>
      <c r="K3438">
        <v>100</v>
      </c>
      <c r="L3438" s="1" t="s">
        <v>8061</v>
      </c>
      <c r="M3438" t="s">
        <v>8030</v>
      </c>
      <c r="N3438">
        <v>3</v>
      </c>
    </row>
    <row r="3439" spans="1:14" x14ac:dyDescent="0.25">
      <c r="A3439" s="3" t="str">
        <f>HYPERLINK("http://www.ncbi.nlm.nih.gov/gene/51132","51132")</f>
        <v>51132</v>
      </c>
      <c r="B3439" s="1" t="s">
        <v>8063</v>
      </c>
      <c r="C3439" t="s">
        <v>8064</v>
      </c>
      <c r="D3439">
        <v>129.19999999999999</v>
      </c>
      <c r="E3439">
        <v>123.1</v>
      </c>
      <c r="F3439">
        <v>100</v>
      </c>
      <c r="G3439">
        <v>99</v>
      </c>
      <c r="H3439">
        <v>154.80000000000001</v>
      </c>
      <c r="I3439">
        <v>154.9</v>
      </c>
      <c r="J3439">
        <v>100</v>
      </c>
      <c r="K3439">
        <v>100</v>
      </c>
      <c r="L3439" s="1" t="s">
        <v>8063</v>
      </c>
      <c r="M3439" t="s">
        <v>728</v>
      </c>
      <c r="N3439">
        <v>2</v>
      </c>
    </row>
    <row r="3440" spans="1:14" x14ac:dyDescent="0.25">
      <c r="A3440" s="3" t="str">
        <f>HYPERLINK("http://www.ncbi.nlm.nih.gov/gene/55005","55005")</f>
        <v>55005</v>
      </c>
      <c r="B3440" s="1" t="s">
        <v>8065</v>
      </c>
      <c r="C3440" t="s">
        <v>8066</v>
      </c>
      <c r="D3440">
        <v>162.19999999999999</v>
      </c>
      <c r="E3440">
        <v>165.2</v>
      </c>
      <c r="F3440">
        <v>100</v>
      </c>
      <c r="G3440">
        <v>98.6</v>
      </c>
      <c r="H3440">
        <v>138</v>
      </c>
      <c r="I3440">
        <v>141.69999999999999</v>
      </c>
      <c r="J3440">
        <v>100</v>
      </c>
      <c r="K3440">
        <v>100</v>
      </c>
      <c r="L3440" s="1" t="s">
        <v>8065</v>
      </c>
      <c r="M3440" t="s">
        <v>8067</v>
      </c>
      <c r="N3440">
        <v>6</v>
      </c>
    </row>
    <row r="3441" spans="1:14" x14ac:dyDescent="0.25">
      <c r="A3441" s="3" t="str">
        <f>HYPERLINK("http://www.ncbi.nlm.nih.gov/gene/6023","6023")</f>
        <v>6023</v>
      </c>
      <c r="B3441" s="1" t="s">
        <v>8068</v>
      </c>
      <c r="C3441" t="s">
        <v>8069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 s="1" t="s">
        <v>8068</v>
      </c>
      <c r="M3441" t="s">
        <v>8070</v>
      </c>
      <c r="N3441">
        <v>8</v>
      </c>
    </row>
    <row r="3442" spans="1:14" x14ac:dyDescent="0.25">
      <c r="A3442" s="3" t="str">
        <f>HYPERLINK("http://www.ncbi.nlm.nih.gov/gene/246243","246243")</f>
        <v>246243</v>
      </c>
      <c r="B3442" s="1" t="s">
        <v>8071</v>
      </c>
      <c r="C3442" t="s">
        <v>8072</v>
      </c>
      <c r="D3442">
        <v>109.6</v>
      </c>
      <c r="E3442">
        <v>109</v>
      </c>
      <c r="F3442">
        <v>98.5</v>
      </c>
      <c r="G3442">
        <v>95.3</v>
      </c>
      <c r="H3442">
        <v>130</v>
      </c>
      <c r="I3442">
        <v>133.4</v>
      </c>
      <c r="J3442">
        <v>100</v>
      </c>
      <c r="K3442">
        <v>100</v>
      </c>
      <c r="L3442" s="1" t="s">
        <v>8071</v>
      </c>
      <c r="M3442" t="s">
        <v>766</v>
      </c>
      <c r="N3442">
        <v>3</v>
      </c>
    </row>
    <row r="3443" spans="1:14" x14ac:dyDescent="0.25">
      <c r="A3443" s="3" t="str">
        <f>HYPERLINK("http://www.ncbi.nlm.nih.gov/gene/10535","10535")</f>
        <v>10535</v>
      </c>
      <c r="B3443" s="1" t="s">
        <v>8073</v>
      </c>
      <c r="C3443" t="s">
        <v>8074</v>
      </c>
      <c r="D3443">
        <v>148.30000000000001</v>
      </c>
      <c r="E3443">
        <v>150.5</v>
      </c>
      <c r="F3443">
        <v>100</v>
      </c>
      <c r="G3443">
        <v>100</v>
      </c>
      <c r="H3443">
        <v>146.19999999999999</v>
      </c>
      <c r="I3443">
        <v>148.9</v>
      </c>
      <c r="J3443">
        <v>100</v>
      </c>
      <c r="K3443">
        <v>100</v>
      </c>
      <c r="L3443" s="1" t="s">
        <v>8073</v>
      </c>
      <c r="M3443" t="s">
        <v>8075</v>
      </c>
      <c r="N3443">
        <v>7</v>
      </c>
    </row>
    <row r="3444" spans="1:14" x14ac:dyDescent="0.25">
      <c r="A3444" s="3" t="str">
        <f>HYPERLINK("http://www.ncbi.nlm.nih.gov/gene/79621","79621")</f>
        <v>79621</v>
      </c>
      <c r="B3444" s="1" t="s">
        <v>8076</v>
      </c>
      <c r="C3444" t="s">
        <v>8077</v>
      </c>
      <c r="D3444">
        <v>114.2</v>
      </c>
      <c r="E3444">
        <v>116.5</v>
      </c>
      <c r="F3444">
        <v>80.599999999999994</v>
      </c>
      <c r="G3444">
        <v>78.099999999999994</v>
      </c>
      <c r="H3444">
        <v>100</v>
      </c>
      <c r="I3444">
        <v>102.5</v>
      </c>
      <c r="J3444">
        <v>91</v>
      </c>
      <c r="K3444">
        <v>90.9</v>
      </c>
      <c r="L3444" s="1" t="s">
        <v>8076</v>
      </c>
      <c r="M3444" t="s">
        <v>8075</v>
      </c>
      <c r="N3444">
        <v>7</v>
      </c>
    </row>
    <row r="3445" spans="1:14" x14ac:dyDescent="0.25">
      <c r="A3445" s="3" t="str">
        <f>HYPERLINK("http://www.ncbi.nlm.nih.gov/gene/84153","84153")</f>
        <v>84153</v>
      </c>
      <c r="B3445" s="1" t="s">
        <v>8078</v>
      </c>
      <c r="C3445" t="s">
        <v>8079</v>
      </c>
      <c r="D3445">
        <v>272.60000000000002</v>
      </c>
      <c r="E3445">
        <v>279.8</v>
      </c>
      <c r="F3445">
        <v>100</v>
      </c>
      <c r="G3445">
        <v>99.5</v>
      </c>
      <c r="H3445">
        <v>175.9</v>
      </c>
      <c r="I3445">
        <v>176.7</v>
      </c>
      <c r="J3445">
        <v>100</v>
      </c>
      <c r="K3445">
        <v>100</v>
      </c>
      <c r="L3445" s="1" t="s">
        <v>8078</v>
      </c>
      <c r="M3445" t="s">
        <v>8075</v>
      </c>
      <c r="N3445">
        <v>7</v>
      </c>
    </row>
    <row r="3446" spans="1:14" x14ac:dyDescent="0.25">
      <c r="A3446" s="3" t="str">
        <f>HYPERLINK("http://www.ncbi.nlm.nih.gov/gene/6041","6041")</f>
        <v>6041</v>
      </c>
      <c r="B3446" s="1" t="s">
        <v>8080</v>
      </c>
      <c r="C3446" t="s">
        <v>8081</v>
      </c>
      <c r="D3446">
        <v>153.1</v>
      </c>
      <c r="E3446">
        <v>157</v>
      </c>
      <c r="F3446">
        <v>100</v>
      </c>
      <c r="G3446">
        <v>99.8</v>
      </c>
      <c r="H3446">
        <v>156.9</v>
      </c>
      <c r="I3446">
        <v>158.19999999999999</v>
      </c>
      <c r="J3446">
        <v>100</v>
      </c>
      <c r="K3446">
        <v>100</v>
      </c>
      <c r="L3446" s="1" t="s">
        <v>8080</v>
      </c>
      <c r="M3446" t="s">
        <v>19</v>
      </c>
      <c r="N3446">
        <v>2</v>
      </c>
    </row>
    <row r="3447" spans="1:14" x14ac:dyDescent="0.25">
      <c r="A3447" s="3" t="str">
        <f>HYPERLINK("http://www.ncbi.nlm.nih.gov/gene/8635","8635")</f>
        <v>8635</v>
      </c>
      <c r="B3447" s="1" t="s">
        <v>8082</v>
      </c>
      <c r="C3447" t="s">
        <v>8083</v>
      </c>
      <c r="D3447">
        <v>112.9</v>
      </c>
      <c r="E3447">
        <v>115.4</v>
      </c>
      <c r="F3447">
        <v>97.4</v>
      </c>
      <c r="G3447">
        <v>93.1</v>
      </c>
      <c r="H3447">
        <v>147.5</v>
      </c>
      <c r="I3447">
        <v>152.30000000000001</v>
      </c>
      <c r="J3447">
        <v>100</v>
      </c>
      <c r="K3447">
        <v>100</v>
      </c>
      <c r="L3447" s="1" t="s">
        <v>8082</v>
      </c>
      <c r="M3447" t="s">
        <v>228</v>
      </c>
      <c r="N3447">
        <v>3</v>
      </c>
    </row>
    <row r="3448" spans="1:14" x14ac:dyDescent="0.25">
      <c r="A3448" s="3" t="str">
        <f>HYPERLINK("http://www.ncbi.nlm.nih.gov/gene/7737","7737")</f>
        <v>7737</v>
      </c>
      <c r="B3448" s="1" t="s">
        <v>8084</v>
      </c>
      <c r="C3448" t="s">
        <v>8085</v>
      </c>
      <c r="D3448">
        <v>144.80000000000001</v>
      </c>
      <c r="E3448">
        <v>142.19999999999999</v>
      </c>
      <c r="F3448">
        <v>100</v>
      </c>
      <c r="G3448">
        <v>100</v>
      </c>
      <c r="H3448">
        <v>157.30000000000001</v>
      </c>
      <c r="I3448">
        <v>158.80000000000001</v>
      </c>
      <c r="J3448">
        <v>100</v>
      </c>
      <c r="K3448">
        <v>100</v>
      </c>
      <c r="L3448" s="1" t="s">
        <v>8084</v>
      </c>
      <c r="M3448" t="s">
        <v>728</v>
      </c>
      <c r="N3448">
        <v>2</v>
      </c>
    </row>
    <row r="3449" spans="1:14" x14ac:dyDescent="0.25">
      <c r="A3449" s="3" t="str">
        <f>HYPERLINK("http://www.ncbi.nlm.nih.gov/gene/54941","54941")</f>
        <v>54941</v>
      </c>
      <c r="B3449" s="1" t="s">
        <v>8086</v>
      </c>
      <c r="C3449" t="s">
        <v>8087</v>
      </c>
      <c r="D3449">
        <v>200.4</v>
      </c>
      <c r="E3449">
        <v>210.6</v>
      </c>
      <c r="F3449">
        <v>99.9</v>
      </c>
      <c r="G3449">
        <v>99.2</v>
      </c>
      <c r="H3449">
        <v>124.8</v>
      </c>
      <c r="I3449">
        <v>128.19999999999999</v>
      </c>
      <c r="J3449">
        <v>100</v>
      </c>
      <c r="K3449">
        <v>100</v>
      </c>
      <c r="L3449" s="1" t="s">
        <v>8086</v>
      </c>
      <c r="M3449" t="s">
        <v>189</v>
      </c>
      <c r="N3449">
        <v>2</v>
      </c>
    </row>
    <row r="3450" spans="1:14" x14ac:dyDescent="0.25">
      <c r="A3450" s="3" t="str">
        <f>HYPERLINK("http://www.ncbi.nlm.nih.gov/gene/11342","11342")</f>
        <v>11342</v>
      </c>
      <c r="B3450" s="1" t="s">
        <v>8088</v>
      </c>
      <c r="C3450" t="s">
        <v>8089</v>
      </c>
      <c r="D3450">
        <v>97.9</v>
      </c>
      <c r="E3450">
        <v>95.4</v>
      </c>
      <c r="F3450">
        <v>95.2</v>
      </c>
      <c r="G3450">
        <v>81.599999999999994</v>
      </c>
      <c r="H3450">
        <v>130.30000000000001</v>
      </c>
      <c r="I3450">
        <v>132.9</v>
      </c>
      <c r="J3450">
        <v>100</v>
      </c>
      <c r="K3450">
        <v>100</v>
      </c>
      <c r="L3450" s="1" t="s">
        <v>8088</v>
      </c>
      <c r="M3450" t="s">
        <v>189</v>
      </c>
      <c r="N3450">
        <v>2</v>
      </c>
    </row>
    <row r="3451" spans="1:14" x14ac:dyDescent="0.25">
      <c r="A3451" s="3" t="str">
        <f>HYPERLINK("http://www.ncbi.nlm.nih.gov/gene/11236","11236")</f>
        <v>11236</v>
      </c>
      <c r="B3451" s="1" t="s">
        <v>8090</v>
      </c>
      <c r="C3451" t="s">
        <v>8091</v>
      </c>
      <c r="D3451">
        <v>214.6</v>
      </c>
      <c r="E3451">
        <v>189.8</v>
      </c>
      <c r="F3451">
        <v>100</v>
      </c>
      <c r="G3451">
        <v>100</v>
      </c>
      <c r="H3451">
        <v>145</v>
      </c>
      <c r="I3451">
        <v>144.80000000000001</v>
      </c>
      <c r="J3451">
        <v>100</v>
      </c>
      <c r="K3451">
        <v>100</v>
      </c>
      <c r="L3451" s="1" t="s">
        <v>8090</v>
      </c>
      <c r="M3451" t="s">
        <v>22</v>
      </c>
      <c r="N3451">
        <v>1</v>
      </c>
    </row>
    <row r="3452" spans="1:14" x14ac:dyDescent="0.25">
      <c r="A3452" s="3" t="str">
        <f>HYPERLINK("http://www.ncbi.nlm.nih.gov/gene/165918","165918")</f>
        <v>165918</v>
      </c>
      <c r="B3452" s="1" t="s">
        <v>8092</v>
      </c>
      <c r="C3452" t="s">
        <v>8093</v>
      </c>
      <c r="D3452">
        <v>185.9</v>
      </c>
      <c r="E3452">
        <v>202.2</v>
      </c>
      <c r="F3452">
        <v>100</v>
      </c>
      <c r="G3452">
        <v>99.8</v>
      </c>
      <c r="H3452">
        <v>143.19999999999999</v>
      </c>
      <c r="I3452">
        <v>143</v>
      </c>
      <c r="J3452">
        <v>100</v>
      </c>
      <c r="K3452">
        <v>100</v>
      </c>
      <c r="L3452" s="1" t="s">
        <v>8092</v>
      </c>
      <c r="M3452" t="s">
        <v>1097</v>
      </c>
      <c r="N3452">
        <v>3</v>
      </c>
    </row>
    <row r="3453" spans="1:14" x14ac:dyDescent="0.25">
      <c r="A3453" s="3" t="str">
        <f>HYPERLINK("http://www.ncbi.nlm.nih.gov/gene/81790","81790")</f>
        <v>81790</v>
      </c>
      <c r="B3453" s="1" t="s">
        <v>8094</v>
      </c>
      <c r="C3453" t="s">
        <v>8095</v>
      </c>
      <c r="D3453">
        <v>145.19999999999999</v>
      </c>
      <c r="E3453">
        <v>146.5</v>
      </c>
      <c r="F3453">
        <v>99.6</v>
      </c>
      <c r="G3453">
        <v>97.6</v>
      </c>
      <c r="H3453">
        <v>139.9</v>
      </c>
      <c r="I3453">
        <v>143.6</v>
      </c>
      <c r="J3453">
        <v>100</v>
      </c>
      <c r="K3453">
        <v>100</v>
      </c>
      <c r="L3453" s="1" t="s">
        <v>8094</v>
      </c>
      <c r="M3453" t="s">
        <v>3127</v>
      </c>
      <c r="N3453">
        <v>3</v>
      </c>
    </row>
    <row r="3454" spans="1:14" x14ac:dyDescent="0.25">
      <c r="A3454" s="3" t="str">
        <f>HYPERLINK("http://www.ncbi.nlm.nih.gov/gene/285498","285498")</f>
        <v>285498</v>
      </c>
      <c r="B3454" s="1" t="s">
        <v>8096</v>
      </c>
      <c r="C3454" t="s">
        <v>8097</v>
      </c>
      <c r="D3454">
        <v>129.9</v>
      </c>
      <c r="E3454">
        <v>132.19999999999999</v>
      </c>
      <c r="F3454">
        <v>100</v>
      </c>
      <c r="G3454">
        <v>99.6</v>
      </c>
      <c r="H3454">
        <v>137.9</v>
      </c>
      <c r="I3454">
        <v>141.1</v>
      </c>
      <c r="J3454">
        <v>100</v>
      </c>
      <c r="K3454">
        <v>100</v>
      </c>
      <c r="L3454" s="1" t="s">
        <v>8096</v>
      </c>
      <c r="M3454" t="s">
        <v>22</v>
      </c>
      <c r="N3454">
        <v>1</v>
      </c>
    </row>
    <row r="3455" spans="1:14" x14ac:dyDescent="0.25">
      <c r="A3455" s="3" t="str">
        <f>HYPERLINK("http://www.ncbi.nlm.nih.gov/gene/57674","57674")</f>
        <v>57674</v>
      </c>
      <c r="B3455" s="1" t="s">
        <v>8098</v>
      </c>
      <c r="C3455" t="s">
        <v>8099</v>
      </c>
      <c r="D3455">
        <v>146.19999999999999</v>
      </c>
      <c r="E3455">
        <v>145.80000000000001</v>
      </c>
      <c r="F3455">
        <v>99.8</v>
      </c>
      <c r="G3455">
        <v>99</v>
      </c>
      <c r="H3455">
        <v>136.30000000000001</v>
      </c>
      <c r="I3455">
        <v>138.4</v>
      </c>
      <c r="J3455">
        <v>100</v>
      </c>
      <c r="K3455">
        <v>100</v>
      </c>
      <c r="L3455" s="1" t="s">
        <v>8098</v>
      </c>
      <c r="M3455" t="s">
        <v>661</v>
      </c>
      <c r="N3455">
        <v>2</v>
      </c>
    </row>
    <row r="3456" spans="1:14" x14ac:dyDescent="0.25">
      <c r="A3456" s="3" t="str">
        <f>HYPERLINK("http://www.ncbi.nlm.nih.gov/gene/54476","54476")</f>
        <v>54476</v>
      </c>
      <c r="B3456" s="1" t="s">
        <v>8100</v>
      </c>
      <c r="C3456" t="s">
        <v>8101</v>
      </c>
      <c r="D3456">
        <v>162.80000000000001</v>
      </c>
      <c r="E3456">
        <v>153</v>
      </c>
      <c r="F3456">
        <v>99.8</v>
      </c>
      <c r="G3456">
        <v>98.7</v>
      </c>
      <c r="H3456">
        <v>145</v>
      </c>
      <c r="I3456">
        <v>148.19999999999999</v>
      </c>
      <c r="J3456">
        <v>100</v>
      </c>
      <c r="K3456">
        <v>100</v>
      </c>
      <c r="L3456" s="1" t="s">
        <v>8100</v>
      </c>
      <c r="M3456" t="s">
        <v>838</v>
      </c>
      <c r="N3456">
        <v>3</v>
      </c>
    </row>
    <row r="3457" spans="1:14" x14ac:dyDescent="0.25">
      <c r="A3457" s="3" t="str">
        <f>HYPERLINK("http://www.ncbi.nlm.nih.gov/gene/55072","55072")</f>
        <v>55072</v>
      </c>
      <c r="B3457" s="1" t="s">
        <v>8102</v>
      </c>
      <c r="C3457" t="s">
        <v>8103</v>
      </c>
      <c r="D3457">
        <v>157.9</v>
      </c>
      <c r="E3457">
        <v>157.30000000000001</v>
      </c>
      <c r="F3457">
        <v>99.9</v>
      </c>
      <c r="G3457">
        <v>99</v>
      </c>
      <c r="H3457">
        <v>142.9</v>
      </c>
      <c r="I3457">
        <v>145.19999999999999</v>
      </c>
      <c r="J3457">
        <v>100</v>
      </c>
      <c r="K3457">
        <v>100</v>
      </c>
      <c r="L3457" s="1" t="s">
        <v>8102</v>
      </c>
      <c r="M3457" t="s">
        <v>502</v>
      </c>
      <c r="N3457">
        <v>2</v>
      </c>
    </row>
    <row r="3458" spans="1:14" x14ac:dyDescent="0.25">
      <c r="A3458" s="3" t="str">
        <f>HYPERLINK("http://www.ncbi.nlm.nih.gov/gene/54894","54894")</f>
        <v>54894</v>
      </c>
      <c r="B3458" s="1" t="s">
        <v>8104</v>
      </c>
      <c r="C3458" t="s">
        <v>8105</v>
      </c>
      <c r="D3458">
        <v>155.19999999999999</v>
      </c>
      <c r="E3458">
        <v>155.19999999999999</v>
      </c>
      <c r="F3458">
        <v>99.9</v>
      </c>
      <c r="G3458">
        <v>99.1</v>
      </c>
      <c r="H3458">
        <v>155.19999999999999</v>
      </c>
      <c r="I3458">
        <v>150.5</v>
      </c>
      <c r="J3458">
        <v>100</v>
      </c>
      <c r="K3458">
        <v>100</v>
      </c>
      <c r="L3458" s="1" t="s">
        <v>8104</v>
      </c>
      <c r="M3458" t="s">
        <v>19</v>
      </c>
      <c r="N3458">
        <v>2</v>
      </c>
    </row>
    <row r="3459" spans="1:14" x14ac:dyDescent="0.25">
      <c r="A3459" s="3" t="str">
        <f>HYPERLINK("http://www.ncbi.nlm.nih.gov/gene/6049","6049")</f>
        <v>6049</v>
      </c>
      <c r="B3459" s="1" t="s">
        <v>8106</v>
      </c>
      <c r="D3459">
        <v>168.2</v>
      </c>
      <c r="E3459">
        <v>158.19999999999999</v>
      </c>
      <c r="F3459">
        <v>100</v>
      </c>
      <c r="G3459">
        <v>99.7</v>
      </c>
      <c r="H3459">
        <v>169.2</v>
      </c>
      <c r="I3459">
        <v>166.7</v>
      </c>
      <c r="J3459">
        <v>100</v>
      </c>
      <c r="K3459">
        <v>100</v>
      </c>
      <c r="L3459" s="1" t="s">
        <v>8106</v>
      </c>
      <c r="M3459" t="s">
        <v>22</v>
      </c>
      <c r="N3459">
        <v>1</v>
      </c>
    </row>
    <row r="3460" spans="1:14" x14ac:dyDescent="0.25">
      <c r="A3460" s="3" t="str">
        <f>HYPERLINK("http://www.ncbi.nlm.nih.gov/gene/55599","55599")</f>
        <v>55599</v>
      </c>
      <c r="B3460" s="1" t="s">
        <v>8107</v>
      </c>
      <c r="C3460" t="s">
        <v>8108</v>
      </c>
      <c r="D3460">
        <v>45.4</v>
      </c>
      <c r="E3460">
        <v>45.7</v>
      </c>
      <c r="F3460">
        <v>91.5</v>
      </c>
      <c r="G3460">
        <v>70.7</v>
      </c>
      <c r="H3460">
        <v>111.6</v>
      </c>
      <c r="I3460">
        <v>114.6</v>
      </c>
      <c r="J3460">
        <v>100</v>
      </c>
      <c r="K3460">
        <v>100</v>
      </c>
      <c r="L3460" s="1" t="s">
        <v>8107</v>
      </c>
      <c r="M3460" t="s">
        <v>1168</v>
      </c>
      <c r="N3460">
        <v>3</v>
      </c>
    </row>
    <row r="3461" spans="1:14" x14ac:dyDescent="0.25">
      <c r="A3461" s="3" t="str">
        <f>HYPERLINK("http://www.ncbi.nlm.nih.gov/gene/100151683","100151683")</f>
        <v>100151683</v>
      </c>
      <c r="B3461" s="1" t="s">
        <v>8109</v>
      </c>
      <c r="C3461" t="s">
        <v>8110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 s="1" t="s">
        <v>8109</v>
      </c>
      <c r="M3461" t="s">
        <v>8111</v>
      </c>
      <c r="N3461">
        <v>5</v>
      </c>
    </row>
    <row r="3462" spans="1:14" x14ac:dyDescent="0.25">
      <c r="A3462" s="3" t="str">
        <f>HYPERLINK("http://www.ncbi.nlm.nih.gov/gene/100147744","100147744")</f>
        <v>100147744</v>
      </c>
      <c r="B3462" s="1" t="s">
        <v>8112</v>
      </c>
      <c r="C3462" t="s">
        <v>8113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 s="1" t="s">
        <v>8112</v>
      </c>
      <c r="M3462" t="s">
        <v>502</v>
      </c>
      <c r="N3462">
        <v>2</v>
      </c>
    </row>
    <row r="3463" spans="1:14" x14ac:dyDescent="0.25">
      <c r="A3463" s="3" t="str">
        <f>HYPERLINK("http://www.ncbi.nlm.nih.gov/gene/6091","6091")</f>
        <v>6091</v>
      </c>
      <c r="B3463" s="1" t="s">
        <v>8114</v>
      </c>
      <c r="C3463" t="s">
        <v>8115</v>
      </c>
      <c r="D3463">
        <v>173.9</v>
      </c>
      <c r="E3463">
        <v>181.5</v>
      </c>
      <c r="F3463">
        <v>100</v>
      </c>
      <c r="G3463">
        <v>99.9</v>
      </c>
      <c r="H3463">
        <v>144.69999999999999</v>
      </c>
      <c r="I3463">
        <v>148.80000000000001</v>
      </c>
      <c r="J3463">
        <v>100</v>
      </c>
      <c r="K3463">
        <v>100</v>
      </c>
      <c r="L3463" s="1" t="s">
        <v>8114</v>
      </c>
      <c r="M3463" t="s">
        <v>1120</v>
      </c>
      <c r="N3463">
        <v>2</v>
      </c>
    </row>
    <row r="3464" spans="1:14" x14ac:dyDescent="0.25">
      <c r="A3464" s="3" t="str">
        <f>HYPERLINK("http://www.ncbi.nlm.nih.gov/gene/6092","6092")</f>
        <v>6092</v>
      </c>
      <c r="B3464" s="1" t="s">
        <v>8116</v>
      </c>
      <c r="C3464" t="s">
        <v>8117</v>
      </c>
      <c r="D3464">
        <v>149.5</v>
      </c>
      <c r="E3464">
        <v>155.80000000000001</v>
      </c>
      <c r="F3464">
        <v>99.4</v>
      </c>
      <c r="G3464">
        <v>97.8</v>
      </c>
      <c r="H3464">
        <v>145.80000000000001</v>
      </c>
      <c r="I3464">
        <v>150.6</v>
      </c>
      <c r="J3464">
        <v>100</v>
      </c>
      <c r="K3464">
        <v>100</v>
      </c>
      <c r="L3464" s="1" t="s">
        <v>8116</v>
      </c>
      <c r="M3464" t="s">
        <v>200</v>
      </c>
      <c r="N3464">
        <v>2</v>
      </c>
    </row>
    <row r="3465" spans="1:14" x14ac:dyDescent="0.25">
      <c r="A3465" s="3" t="str">
        <f>HYPERLINK("http://www.ncbi.nlm.nih.gov/gene/64221","64221")</f>
        <v>64221</v>
      </c>
      <c r="B3465" s="1" t="s">
        <v>8118</v>
      </c>
      <c r="C3465" t="s">
        <v>8119</v>
      </c>
      <c r="D3465">
        <v>102.7</v>
      </c>
      <c r="E3465">
        <v>105.8</v>
      </c>
      <c r="F3465">
        <v>98.9</v>
      </c>
      <c r="G3465">
        <v>96.1</v>
      </c>
      <c r="H3465">
        <v>146.80000000000001</v>
      </c>
      <c r="I3465">
        <v>151.30000000000001</v>
      </c>
      <c r="J3465">
        <v>100</v>
      </c>
      <c r="K3465">
        <v>100</v>
      </c>
      <c r="L3465" s="1" t="s">
        <v>8118</v>
      </c>
      <c r="M3465" t="s">
        <v>53</v>
      </c>
      <c r="N3465">
        <v>2</v>
      </c>
    </row>
    <row r="3466" spans="1:14" x14ac:dyDescent="0.25">
      <c r="A3466" s="3" t="str">
        <f>HYPERLINK("http://www.ncbi.nlm.nih.gov/gene/54538","54538")</f>
        <v>54538</v>
      </c>
      <c r="B3466" s="1" t="s">
        <v>8120</v>
      </c>
      <c r="C3466" t="s">
        <v>8121</v>
      </c>
      <c r="D3466">
        <v>118.5</v>
      </c>
      <c r="E3466">
        <v>114.9</v>
      </c>
      <c r="F3466">
        <v>99.9</v>
      </c>
      <c r="G3466">
        <v>98.6</v>
      </c>
      <c r="H3466">
        <v>153.6</v>
      </c>
      <c r="I3466">
        <v>158</v>
      </c>
      <c r="J3466">
        <v>100</v>
      </c>
      <c r="K3466">
        <v>100</v>
      </c>
      <c r="L3466" s="1" t="s">
        <v>8120</v>
      </c>
      <c r="M3466" t="s">
        <v>661</v>
      </c>
      <c r="N3466">
        <v>2</v>
      </c>
    </row>
    <row r="3467" spans="1:14" x14ac:dyDescent="0.25">
      <c r="A3467" s="3" t="str">
        <f>HYPERLINK("http://www.ncbi.nlm.nih.gov/gene/79641","79641")</f>
        <v>79641</v>
      </c>
      <c r="B3467" s="1" t="s">
        <v>8122</v>
      </c>
      <c r="C3467" t="s">
        <v>8123</v>
      </c>
      <c r="D3467">
        <v>102.2</v>
      </c>
      <c r="E3467">
        <v>103.5</v>
      </c>
      <c r="F3467">
        <v>98.4</v>
      </c>
      <c r="G3467">
        <v>95.2</v>
      </c>
      <c r="H3467">
        <v>127.8</v>
      </c>
      <c r="I3467">
        <v>129.69999999999999</v>
      </c>
      <c r="J3467">
        <v>99.9</v>
      </c>
      <c r="K3467">
        <v>99.1</v>
      </c>
      <c r="L3467" s="1" t="s">
        <v>8122</v>
      </c>
      <c r="M3467" t="s">
        <v>8124</v>
      </c>
      <c r="N3467">
        <v>5</v>
      </c>
    </row>
    <row r="3468" spans="1:14" x14ac:dyDescent="0.25">
      <c r="A3468" s="3" t="str">
        <f>HYPERLINK("http://www.ncbi.nlm.nih.gov/gene/6094","6094")</f>
        <v>6094</v>
      </c>
      <c r="B3468" s="1" t="s">
        <v>8125</v>
      </c>
      <c r="C3468" t="s">
        <v>8126</v>
      </c>
      <c r="D3468">
        <v>115.2</v>
      </c>
      <c r="E3468">
        <v>115.6</v>
      </c>
      <c r="F3468">
        <v>100</v>
      </c>
      <c r="G3468">
        <v>99.9</v>
      </c>
      <c r="H3468">
        <v>151.1</v>
      </c>
      <c r="I3468">
        <v>150.6</v>
      </c>
      <c r="J3468">
        <v>100</v>
      </c>
      <c r="K3468">
        <v>100</v>
      </c>
      <c r="L3468" s="1" t="s">
        <v>8125</v>
      </c>
      <c r="M3468" t="s">
        <v>8127</v>
      </c>
      <c r="N3468">
        <v>2</v>
      </c>
    </row>
    <row r="3469" spans="1:14" x14ac:dyDescent="0.25">
      <c r="A3469" s="3" t="str">
        <f>HYPERLINK("http://www.ncbi.nlm.nih.gov/gene/4919","4919")</f>
        <v>4919</v>
      </c>
      <c r="B3469" s="1" t="s">
        <v>8128</v>
      </c>
      <c r="C3469" t="s">
        <v>8129</v>
      </c>
      <c r="D3469">
        <v>178.2</v>
      </c>
      <c r="E3469">
        <v>172.5</v>
      </c>
      <c r="F3469">
        <v>97</v>
      </c>
      <c r="G3469">
        <v>96.8</v>
      </c>
      <c r="H3469">
        <v>143.4</v>
      </c>
      <c r="I3469">
        <v>144.6</v>
      </c>
      <c r="J3469">
        <v>99.9</v>
      </c>
      <c r="K3469">
        <v>99.3</v>
      </c>
      <c r="L3469" s="1" t="s">
        <v>8128</v>
      </c>
      <c r="M3469" t="s">
        <v>269</v>
      </c>
      <c r="N3469">
        <v>3</v>
      </c>
    </row>
    <row r="3470" spans="1:14" x14ac:dyDescent="0.25">
      <c r="A3470" s="3" t="str">
        <f>HYPERLINK("http://www.ncbi.nlm.nih.gov/gene/4920","4920")</f>
        <v>4920</v>
      </c>
      <c r="B3470" s="1" t="s">
        <v>8130</v>
      </c>
      <c r="C3470" t="s">
        <v>8131</v>
      </c>
      <c r="D3470">
        <v>178.4</v>
      </c>
      <c r="E3470">
        <v>168.7</v>
      </c>
      <c r="F3470">
        <v>100</v>
      </c>
      <c r="G3470">
        <v>99.9</v>
      </c>
      <c r="H3470">
        <v>155.30000000000001</v>
      </c>
      <c r="I3470">
        <v>157.9</v>
      </c>
      <c r="J3470">
        <v>97</v>
      </c>
      <c r="K3470">
        <v>97</v>
      </c>
      <c r="L3470" s="1" t="s">
        <v>8130</v>
      </c>
      <c r="M3470" t="s">
        <v>8132</v>
      </c>
      <c r="N3470">
        <v>6</v>
      </c>
    </row>
    <row r="3471" spans="1:14" x14ac:dyDescent="0.25">
      <c r="A3471" s="3" t="str">
        <f>HYPERLINK("http://www.ncbi.nlm.nih.gov/gene/6095","6095")</f>
        <v>6095</v>
      </c>
      <c r="B3471" s="1" t="s">
        <v>8133</v>
      </c>
      <c r="C3471" t="s">
        <v>8134</v>
      </c>
      <c r="D3471">
        <v>114.4</v>
      </c>
      <c r="E3471">
        <v>117.7</v>
      </c>
      <c r="F3471">
        <v>96.7</v>
      </c>
      <c r="G3471">
        <v>90.2</v>
      </c>
      <c r="H3471">
        <v>134.5</v>
      </c>
      <c r="I3471">
        <v>138.30000000000001</v>
      </c>
      <c r="J3471">
        <v>100</v>
      </c>
      <c r="K3471">
        <v>100</v>
      </c>
      <c r="L3471" s="1" t="s">
        <v>8133</v>
      </c>
      <c r="M3471" t="s">
        <v>189</v>
      </c>
      <c r="N3471">
        <v>2</v>
      </c>
    </row>
    <row r="3472" spans="1:14" x14ac:dyDescent="0.25">
      <c r="A3472" s="3" t="str">
        <f>HYPERLINK("http://www.ncbi.nlm.nih.gov/gene/6097","6097")</f>
        <v>6097</v>
      </c>
      <c r="B3472" s="1" t="s">
        <v>8135</v>
      </c>
      <c r="C3472" t="s">
        <v>8136</v>
      </c>
      <c r="D3472">
        <v>123.9</v>
      </c>
      <c r="E3472">
        <v>123.9</v>
      </c>
      <c r="F3472">
        <v>100</v>
      </c>
      <c r="G3472">
        <v>100</v>
      </c>
      <c r="H3472">
        <v>132.30000000000001</v>
      </c>
      <c r="I3472">
        <v>135.19999999999999</v>
      </c>
      <c r="J3472">
        <v>100</v>
      </c>
      <c r="K3472">
        <v>100</v>
      </c>
      <c r="L3472" s="1" t="s">
        <v>8135</v>
      </c>
      <c r="M3472" t="s">
        <v>1097</v>
      </c>
      <c r="N3472">
        <v>3</v>
      </c>
    </row>
    <row r="3473" spans="1:14" x14ac:dyDescent="0.25">
      <c r="A3473" s="3" t="str">
        <f>HYPERLINK("http://www.ncbi.nlm.nih.gov/gene/6101","6101")</f>
        <v>6101</v>
      </c>
      <c r="B3473" s="1" t="s">
        <v>8137</v>
      </c>
      <c r="C3473" t="s">
        <v>8138</v>
      </c>
      <c r="D3473">
        <v>143.4</v>
      </c>
      <c r="E3473">
        <v>124</v>
      </c>
      <c r="F3473">
        <v>91.5</v>
      </c>
      <c r="G3473">
        <v>90.6</v>
      </c>
      <c r="H3473">
        <v>120.7</v>
      </c>
      <c r="I3473">
        <v>120</v>
      </c>
      <c r="J3473">
        <v>100</v>
      </c>
      <c r="K3473">
        <v>100</v>
      </c>
      <c r="L3473" s="1" t="s">
        <v>8137</v>
      </c>
      <c r="M3473" t="s">
        <v>8030</v>
      </c>
      <c r="N3473">
        <v>3</v>
      </c>
    </row>
    <row r="3474" spans="1:14" x14ac:dyDescent="0.25">
      <c r="A3474" s="3" t="str">
        <f>HYPERLINK("http://www.ncbi.nlm.nih.gov/gene/94137","94137")</f>
        <v>94137</v>
      </c>
      <c r="B3474" s="1" t="s">
        <v>8139</v>
      </c>
      <c r="C3474" t="s">
        <v>8140</v>
      </c>
      <c r="D3474">
        <v>148.69999999999999</v>
      </c>
      <c r="E3474">
        <v>135.30000000000001</v>
      </c>
      <c r="F3474">
        <v>100</v>
      </c>
      <c r="G3474">
        <v>100</v>
      </c>
      <c r="H3474">
        <v>192.8</v>
      </c>
      <c r="I3474">
        <v>174.1</v>
      </c>
      <c r="J3474">
        <v>100</v>
      </c>
      <c r="K3474">
        <v>100</v>
      </c>
      <c r="L3474" s="1" t="s">
        <v>8139</v>
      </c>
      <c r="M3474" t="s">
        <v>4071</v>
      </c>
      <c r="N3474">
        <v>2</v>
      </c>
    </row>
    <row r="3475" spans="1:14" x14ac:dyDescent="0.25">
      <c r="A3475" s="3" t="str">
        <f>HYPERLINK("http://www.ncbi.nlm.nih.gov/gene/6102","6102")</f>
        <v>6102</v>
      </c>
      <c r="B3475" s="1" t="s">
        <v>8141</v>
      </c>
      <c r="C3475" t="s">
        <v>8142</v>
      </c>
      <c r="D3475">
        <v>179.6</v>
      </c>
      <c r="E3475">
        <v>177.8</v>
      </c>
      <c r="F3475">
        <v>100</v>
      </c>
      <c r="G3475">
        <v>99.8</v>
      </c>
      <c r="H3475">
        <v>133.30000000000001</v>
      </c>
      <c r="I3475">
        <v>136.5</v>
      </c>
      <c r="J3475">
        <v>100</v>
      </c>
      <c r="K3475">
        <v>100</v>
      </c>
      <c r="L3475" s="1" t="s">
        <v>8141</v>
      </c>
      <c r="M3475" t="s">
        <v>772</v>
      </c>
      <c r="N3475">
        <v>2</v>
      </c>
    </row>
    <row r="3476" spans="1:14" x14ac:dyDescent="0.25">
      <c r="A3476" s="3" t="str">
        <f>HYPERLINK("http://www.ncbi.nlm.nih.gov/gene/6100","6100")</f>
        <v>6100</v>
      </c>
      <c r="B3476" s="1" t="s">
        <v>8143</v>
      </c>
      <c r="C3476" t="s">
        <v>8144</v>
      </c>
      <c r="D3476">
        <v>72</v>
      </c>
      <c r="E3476">
        <v>67.900000000000006</v>
      </c>
      <c r="F3476">
        <v>80.8</v>
      </c>
      <c r="G3476">
        <v>75.900000000000006</v>
      </c>
      <c r="H3476">
        <v>122.6</v>
      </c>
      <c r="I3476">
        <v>125.3</v>
      </c>
      <c r="J3476">
        <v>100</v>
      </c>
      <c r="K3476">
        <v>99.3</v>
      </c>
      <c r="L3476" s="1" t="s">
        <v>8143</v>
      </c>
      <c r="M3476" t="s">
        <v>302</v>
      </c>
      <c r="N3476">
        <v>2</v>
      </c>
    </row>
    <row r="3477" spans="1:14" x14ac:dyDescent="0.25">
      <c r="A3477" s="3" t="str">
        <f>HYPERLINK("http://www.ncbi.nlm.nih.gov/gene/6121","6121")</f>
        <v>6121</v>
      </c>
      <c r="B3477" s="1" t="s">
        <v>8145</v>
      </c>
      <c r="C3477" t="s">
        <v>8146</v>
      </c>
      <c r="D3477">
        <v>149</v>
      </c>
      <c r="E3477">
        <v>153.19999999999999</v>
      </c>
      <c r="F3477">
        <v>99.8</v>
      </c>
      <c r="G3477">
        <v>97.8</v>
      </c>
      <c r="H3477">
        <v>139.6</v>
      </c>
      <c r="I3477">
        <v>142.9</v>
      </c>
      <c r="J3477">
        <v>100</v>
      </c>
      <c r="K3477">
        <v>100</v>
      </c>
      <c r="L3477" s="1" t="s">
        <v>8145</v>
      </c>
      <c r="M3477" t="s">
        <v>8147</v>
      </c>
      <c r="N3477">
        <v>4</v>
      </c>
    </row>
    <row r="3478" spans="1:14" x14ac:dyDescent="0.25">
      <c r="A3478" s="3" t="str">
        <f>HYPERLINK("http://www.ncbi.nlm.nih.gov/gene/6103","6103")</f>
        <v>6103</v>
      </c>
      <c r="B3478" s="1" t="s">
        <v>8148</v>
      </c>
      <c r="C3478" t="s">
        <v>8149</v>
      </c>
      <c r="D3478">
        <v>78.400000000000006</v>
      </c>
      <c r="E3478">
        <v>75.2</v>
      </c>
      <c r="F3478">
        <v>76.5</v>
      </c>
      <c r="G3478">
        <v>72</v>
      </c>
      <c r="H3478">
        <v>121.6</v>
      </c>
      <c r="I3478">
        <v>121.7</v>
      </c>
      <c r="J3478">
        <v>100</v>
      </c>
      <c r="K3478">
        <v>99.9</v>
      </c>
      <c r="L3478" s="1" t="s">
        <v>8148</v>
      </c>
      <c r="M3478" t="s">
        <v>772</v>
      </c>
      <c r="N3478">
        <v>2</v>
      </c>
    </row>
    <row r="3479" spans="1:14" x14ac:dyDescent="0.25">
      <c r="A3479" s="3" t="str">
        <f>HYPERLINK("http://www.ncbi.nlm.nih.gov/gene/57096","57096")</f>
        <v>57096</v>
      </c>
      <c r="B3479" s="1" t="s">
        <v>8150</v>
      </c>
      <c r="C3479" t="s">
        <v>8151</v>
      </c>
      <c r="D3479">
        <v>141.1</v>
      </c>
      <c r="E3479">
        <v>146.19999999999999</v>
      </c>
      <c r="F3479">
        <v>100</v>
      </c>
      <c r="G3479">
        <v>99.9</v>
      </c>
      <c r="H3479">
        <v>128.4</v>
      </c>
      <c r="I3479">
        <v>132.6</v>
      </c>
      <c r="J3479">
        <v>100</v>
      </c>
      <c r="K3479">
        <v>100</v>
      </c>
      <c r="L3479" s="1" t="s">
        <v>8150</v>
      </c>
      <c r="M3479" t="s">
        <v>56</v>
      </c>
      <c r="N3479">
        <v>3</v>
      </c>
    </row>
    <row r="3480" spans="1:14" x14ac:dyDescent="0.25">
      <c r="A3480" s="3" t="str">
        <f>HYPERLINK("http://www.ncbi.nlm.nih.gov/gene/23322","23322")</f>
        <v>23322</v>
      </c>
      <c r="B3480" s="1" t="s">
        <v>8152</v>
      </c>
      <c r="C3480" t="s">
        <v>8153</v>
      </c>
      <c r="D3480">
        <v>148.69999999999999</v>
      </c>
      <c r="E3480">
        <v>155.5</v>
      </c>
      <c r="F3480">
        <v>96.7</v>
      </c>
      <c r="G3480">
        <v>95.7</v>
      </c>
      <c r="H3480">
        <v>131.9</v>
      </c>
      <c r="I3480">
        <v>134.4</v>
      </c>
      <c r="J3480">
        <v>100</v>
      </c>
      <c r="K3480">
        <v>99.5</v>
      </c>
      <c r="L3480" s="1" t="s">
        <v>8152</v>
      </c>
      <c r="M3480" t="s">
        <v>1477</v>
      </c>
      <c r="N3480">
        <v>9</v>
      </c>
    </row>
    <row r="3481" spans="1:14" x14ac:dyDescent="0.25">
      <c r="A3481" s="3" t="str">
        <f>HYPERLINK("http://www.ncbi.nlm.nih.gov/gene/22934","22934")</f>
        <v>22934</v>
      </c>
      <c r="B3481" s="1" t="s">
        <v>8154</v>
      </c>
      <c r="C3481" t="s">
        <v>8155</v>
      </c>
      <c r="D3481">
        <v>107.8</v>
      </c>
      <c r="E3481">
        <v>109.4</v>
      </c>
      <c r="F3481">
        <v>98.6</v>
      </c>
      <c r="G3481">
        <v>94.9</v>
      </c>
      <c r="H3481">
        <v>125.2</v>
      </c>
      <c r="I3481">
        <v>127.7</v>
      </c>
      <c r="J3481">
        <v>100</v>
      </c>
      <c r="K3481">
        <v>100</v>
      </c>
      <c r="L3481" s="1" t="s">
        <v>8154</v>
      </c>
      <c r="M3481" t="s">
        <v>38</v>
      </c>
      <c r="N3481">
        <v>4</v>
      </c>
    </row>
    <row r="3482" spans="1:14" x14ac:dyDescent="0.25">
      <c r="A3482" s="3" t="str">
        <f>HYPERLINK("http://www.ncbi.nlm.nih.gov/gene/6134","6134")</f>
        <v>6134</v>
      </c>
      <c r="B3482" s="1" t="s">
        <v>8156</v>
      </c>
      <c r="C3482" t="s">
        <v>8157</v>
      </c>
      <c r="D3482">
        <v>80.5</v>
      </c>
      <c r="E3482">
        <v>79.099999999999994</v>
      </c>
      <c r="F3482">
        <v>97.4</v>
      </c>
      <c r="G3482">
        <v>89.1</v>
      </c>
      <c r="H3482">
        <v>136.4</v>
      </c>
      <c r="I3482">
        <v>140.5</v>
      </c>
      <c r="J3482">
        <v>100</v>
      </c>
      <c r="K3482">
        <v>100</v>
      </c>
      <c r="L3482" s="1" t="s">
        <v>8156</v>
      </c>
      <c r="M3482" t="s">
        <v>8158</v>
      </c>
      <c r="N3482">
        <v>3</v>
      </c>
    </row>
    <row r="3483" spans="1:14" x14ac:dyDescent="0.25">
      <c r="A3483" s="3" t="str">
        <f>HYPERLINK("http://www.ncbi.nlm.nih.gov/gene/6135","6135")</f>
        <v>6135</v>
      </c>
      <c r="B3483" s="1" t="s">
        <v>8159</v>
      </c>
      <c r="C3483" t="s">
        <v>8160</v>
      </c>
      <c r="D3483">
        <v>110.1</v>
      </c>
      <c r="E3483">
        <v>111</v>
      </c>
      <c r="F3483">
        <v>100</v>
      </c>
      <c r="G3483">
        <v>100</v>
      </c>
      <c r="H3483">
        <v>116.2</v>
      </c>
      <c r="I3483">
        <v>119.3</v>
      </c>
      <c r="J3483">
        <v>100</v>
      </c>
      <c r="K3483">
        <v>100</v>
      </c>
      <c r="L3483" s="1" t="s">
        <v>8159</v>
      </c>
      <c r="M3483" t="s">
        <v>8161</v>
      </c>
      <c r="N3483">
        <v>4</v>
      </c>
    </row>
    <row r="3484" spans="1:14" x14ac:dyDescent="0.25">
      <c r="A3484" s="3" t="str">
        <f>HYPERLINK("http://www.ncbi.nlm.nih.gov/gene/6137","6137")</f>
        <v>6137</v>
      </c>
      <c r="B3484" s="1" t="s">
        <v>8162</v>
      </c>
      <c r="C3484" t="s">
        <v>8163</v>
      </c>
      <c r="D3484">
        <v>58.2</v>
      </c>
      <c r="E3484">
        <v>54.8</v>
      </c>
      <c r="F3484">
        <v>96.3</v>
      </c>
      <c r="G3484">
        <v>85.5</v>
      </c>
      <c r="H3484">
        <v>129.19999999999999</v>
      </c>
      <c r="I3484">
        <v>132.6</v>
      </c>
      <c r="J3484">
        <v>100</v>
      </c>
      <c r="K3484">
        <v>100</v>
      </c>
      <c r="L3484" s="1" t="s">
        <v>8162</v>
      </c>
      <c r="M3484" t="s">
        <v>1253</v>
      </c>
      <c r="N3484">
        <v>2</v>
      </c>
    </row>
    <row r="3485" spans="1:14" x14ac:dyDescent="0.25">
      <c r="A3485" s="3" t="str">
        <f>HYPERLINK("http://www.ncbi.nlm.nih.gov/gene/6138","6138")</f>
        <v>6138</v>
      </c>
      <c r="B3485" s="1" t="s">
        <v>8164</v>
      </c>
      <c r="C3485" t="s">
        <v>8165</v>
      </c>
      <c r="D3485">
        <v>46.4</v>
      </c>
      <c r="E3485">
        <v>35.200000000000003</v>
      </c>
      <c r="F3485">
        <v>86.8</v>
      </c>
      <c r="G3485">
        <v>78</v>
      </c>
      <c r="H3485">
        <v>133.9</v>
      </c>
      <c r="I3485">
        <v>137.9</v>
      </c>
      <c r="J3485">
        <v>100</v>
      </c>
      <c r="K3485">
        <v>100</v>
      </c>
      <c r="L3485" s="1" t="s">
        <v>8164</v>
      </c>
      <c r="M3485" t="s">
        <v>2625</v>
      </c>
      <c r="N3485">
        <v>3</v>
      </c>
    </row>
    <row r="3486" spans="1:14" x14ac:dyDescent="0.25">
      <c r="A3486" s="3" t="str">
        <f>HYPERLINK("http://www.ncbi.nlm.nih.gov/gene/6141","6141")</f>
        <v>6141</v>
      </c>
      <c r="B3486" s="1" t="s">
        <v>8166</v>
      </c>
      <c r="C3486" t="s">
        <v>8167</v>
      </c>
      <c r="D3486">
        <v>110.4</v>
      </c>
      <c r="E3486">
        <v>106.9</v>
      </c>
      <c r="F3486">
        <v>100</v>
      </c>
      <c r="G3486">
        <v>100</v>
      </c>
      <c r="H3486">
        <v>158.1</v>
      </c>
      <c r="I3486">
        <v>161.19999999999999</v>
      </c>
      <c r="J3486">
        <v>100</v>
      </c>
      <c r="K3486">
        <v>100</v>
      </c>
      <c r="L3486" s="1" t="s">
        <v>8166</v>
      </c>
      <c r="M3486" t="s">
        <v>2625</v>
      </c>
      <c r="N3486">
        <v>3</v>
      </c>
    </row>
    <row r="3487" spans="1:14" x14ac:dyDescent="0.25">
      <c r="A3487" s="3" t="str">
        <f>HYPERLINK("http://www.ncbi.nlm.nih.gov/gene/6144","6144")</f>
        <v>6144</v>
      </c>
      <c r="B3487" s="1" t="s">
        <v>8168</v>
      </c>
      <c r="C3487" t="s">
        <v>8169</v>
      </c>
      <c r="D3487">
        <v>66.2</v>
      </c>
      <c r="E3487">
        <v>64.8</v>
      </c>
      <c r="F3487">
        <v>88.8</v>
      </c>
      <c r="G3487">
        <v>71.7</v>
      </c>
      <c r="H3487">
        <v>111.4</v>
      </c>
      <c r="I3487">
        <v>113.5</v>
      </c>
      <c r="J3487">
        <v>100</v>
      </c>
      <c r="K3487">
        <v>100</v>
      </c>
      <c r="L3487" s="1" t="s">
        <v>8168</v>
      </c>
      <c r="M3487" t="s">
        <v>29</v>
      </c>
      <c r="N3487">
        <v>2</v>
      </c>
    </row>
    <row r="3488" spans="1:14" x14ac:dyDescent="0.25">
      <c r="A3488" s="3" t="str">
        <f>HYPERLINK("http://www.ncbi.nlm.nih.gov/gene/6154","6154")</f>
        <v>6154</v>
      </c>
      <c r="B3488" s="1" t="s">
        <v>8170</v>
      </c>
      <c r="C3488" t="s">
        <v>8171</v>
      </c>
      <c r="D3488">
        <v>44.2</v>
      </c>
      <c r="E3488">
        <v>42.3</v>
      </c>
      <c r="F3488">
        <v>97.2</v>
      </c>
      <c r="G3488">
        <v>84.4</v>
      </c>
      <c r="H3488">
        <v>150.9</v>
      </c>
      <c r="I3488">
        <v>155.30000000000001</v>
      </c>
      <c r="J3488">
        <v>100</v>
      </c>
      <c r="K3488">
        <v>100</v>
      </c>
      <c r="L3488" s="1" t="s">
        <v>8170</v>
      </c>
      <c r="M3488" t="s">
        <v>8172</v>
      </c>
      <c r="N3488">
        <v>3</v>
      </c>
    </row>
    <row r="3489" spans="1:14" x14ac:dyDescent="0.25">
      <c r="A3489" s="3" t="str">
        <f>HYPERLINK("http://www.ncbi.nlm.nih.gov/gene/6155","6155")</f>
        <v>6155</v>
      </c>
      <c r="B3489" s="1" t="s">
        <v>8173</v>
      </c>
      <c r="C3489" t="s">
        <v>8174</v>
      </c>
      <c r="D3489">
        <v>34.5</v>
      </c>
      <c r="E3489">
        <v>33.700000000000003</v>
      </c>
      <c r="F3489">
        <v>73.599999999999994</v>
      </c>
      <c r="G3489">
        <v>56.5</v>
      </c>
      <c r="H3489">
        <v>123.1</v>
      </c>
      <c r="I3489">
        <v>126.7</v>
      </c>
      <c r="J3489">
        <v>100</v>
      </c>
      <c r="K3489">
        <v>100</v>
      </c>
      <c r="L3489" s="1" t="s">
        <v>8173</v>
      </c>
      <c r="M3489" t="s">
        <v>2625</v>
      </c>
      <c r="N3489">
        <v>3</v>
      </c>
    </row>
    <row r="3490" spans="1:14" x14ac:dyDescent="0.25">
      <c r="A3490" s="3" t="str">
        <f>HYPERLINK("http://www.ncbi.nlm.nih.gov/gene/6160","6160")</f>
        <v>6160</v>
      </c>
      <c r="B3490" s="1" t="s">
        <v>8175</v>
      </c>
      <c r="C3490" t="s">
        <v>8176</v>
      </c>
      <c r="D3490">
        <v>103.2</v>
      </c>
      <c r="E3490">
        <v>102.6</v>
      </c>
      <c r="F3490">
        <v>99.3</v>
      </c>
      <c r="G3490">
        <v>94.6</v>
      </c>
      <c r="H3490">
        <v>126.1</v>
      </c>
      <c r="I3490">
        <v>128.6</v>
      </c>
      <c r="J3490">
        <v>100</v>
      </c>
      <c r="K3490">
        <v>100</v>
      </c>
      <c r="L3490" s="1" t="s">
        <v>8175</v>
      </c>
      <c r="M3490" t="s">
        <v>5323</v>
      </c>
      <c r="N3490">
        <v>2</v>
      </c>
    </row>
    <row r="3491" spans="1:14" x14ac:dyDescent="0.25">
      <c r="A3491" s="3" t="str">
        <f>HYPERLINK("http://www.ncbi.nlm.nih.gov/gene/11224","11224")</f>
        <v>11224</v>
      </c>
      <c r="B3491" s="1" t="s">
        <v>8177</v>
      </c>
      <c r="C3491" t="s">
        <v>8178</v>
      </c>
      <c r="D3491">
        <v>67.7</v>
      </c>
      <c r="E3491">
        <v>63.9</v>
      </c>
      <c r="F3491">
        <v>86.4</v>
      </c>
      <c r="G3491">
        <v>75</v>
      </c>
      <c r="H3491">
        <v>134.6</v>
      </c>
      <c r="I3491">
        <v>137.6</v>
      </c>
      <c r="J3491">
        <v>100</v>
      </c>
      <c r="K3491">
        <v>100</v>
      </c>
      <c r="L3491" s="1" t="s">
        <v>8177</v>
      </c>
      <c r="M3491" t="s">
        <v>8179</v>
      </c>
      <c r="N3491">
        <v>2</v>
      </c>
    </row>
    <row r="3492" spans="1:14" x14ac:dyDescent="0.25">
      <c r="A3492" s="3" t="str">
        <f>HYPERLINK("http://www.ncbi.nlm.nih.gov/gene/6165","6165")</f>
        <v>6165</v>
      </c>
      <c r="B3492" s="1" t="s">
        <v>8180</v>
      </c>
      <c r="C3492" t="s">
        <v>8181</v>
      </c>
      <c r="D3492">
        <v>101.8</v>
      </c>
      <c r="E3492">
        <v>94.5</v>
      </c>
      <c r="F3492">
        <v>97.1</v>
      </c>
      <c r="G3492">
        <v>88.7</v>
      </c>
      <c r="H3492">
        <v>159.5</v>
      </c>
      <c r="I3492">
        <v>164</v>
      </c>
      <c r="J3492">
        <v>100</v>
      </c>
      <c r="K3492">
        <v>100</v>
      </c>
      <c r="L3492" s="1" t="s">
        <v>8180</v>
      </c>
      <c r="M3492" t="s">
        <v>2625</v>
      </c>
      <c r="N3492">
        <v>3</v>
      </c>
    </row>
    <row r="3493" spans="1:14" x14ac:dyDescent="0.25">
      <c r="A3493" s="3" t="str">
        <f>HYPERLINK("http://www.ncbi.nlm.nih.gov/gene/6124","6124")</f>
        <v>6124</v>
      </c>
      <c r="B3493" s="1" t="s">
        <v>8182</v>
      </c>
      <c r="C3493" t="s">
        <v>8183</v>
      </c>
      <c r="D3493">
        <v>59.2</v>
      </c>
      <c r="E3493">
        <v>55.1</v>
      </c>
      <c r="F3493">
        <v>87.6</v>
      </c>
      <c r="G3493">
        <v>78.3</v>
      </c>
      <c r="H3493">
        <v>139.80000000000001</v>
      </c>
      <c r="I3493">
        <v>143.19999999999999</v>
      </c>
      <c r="J3493">
        <v>100</v>
      </c>
      <c r="K3493">
        <v>100</v>
      </c>
      <c r="L3493" s="1" t="s">
        <v>8182</v>
      </c>
      <c r="M3493" t="s">
        <v>5323</v>
      </c>
      <c r="N3493">
        <v>2</v>
      </c>
    </row>
    <row r="3494" spans="1:14" x14ac:dyDescent="0.25">
      <c r="A3494" s="3" t="str">
        <f>HYPERLINK("http://www.ncbi.nlm.nih.gov/gene/6125","6125")</f>
        <v>6125</v>
      </c>
      <c r="B3494" s="1" t="s">
        <v>8184</v>
      </c>
      <c r="C3494" t="s">
        <v>8185</v>
      </c>
      <c r="D3494">
        <v>44.1</v>
      </c>
      <c r="E3494">
        <v>42.2</v>
      </c>
      <c r="F3494">
        <v>86.2</v>
      </c>
      <c r="G3494">
        <v>70</v>
      </c>
      <c r="H3494">
        <v>126.1</v>
      </c>
      <c r="I3494">
        <v>129.5</v>
      </c>
      <c r="J3494">
        <v>100</v>
      </c>
      <c r="K3494">
        <v>100</v>
      </c>
      <c r="L3494" s="1" t="s">
        <v>8184</v>
      </c>
      <c r="M3494" t="s">
        <v>8161</v>
      </c>
      <c r="N3494">
        <v>4</v>
      </c>
    </row>
    <row r="3495" spans="1:14" x14ac:dyDescent="0.25">
      <c r="A3495" s="3" t="str">
        <f>HYPERLINK("http://www.ncbi.nlm.nih.gov/gene/6133","6133")</f>
        <v>6133</v>
      </c>
      <c r="B3495" s="1" t="s">
        <v>8186</v>
      </c>
      <c r="C3495" t="s">
        <v>8187</v>
      </c>
      <c r="D3495">
        <v>92.2</v>
      </c>
      <c r="E3495">
        <v>97.5</v>
      </c>
      <c r="F3495">
        <v>98.9</v>
      </c>
      <c r="G3495">
        <v>92</v>
      </c>
      <c r="H3495">
        <v>119.5</v>
      </c>
      <c r="I3495">
        <v>122.8</v>
      </c>
      <c r="J3495">
        <v>100</v>
      </c>
      <c r="K3495">
        <v>100</v>
      </c>
      <c r="L3495" s="1" t="s">
        <v>8186</v>
      </c>
      <c r="M3495" t="s">
        <v>5323</v>
      </c>
      <c r="N3495">
        <v>2</v>
      </c>
    </row>
    <row r="3496" spans="1:14" x14ac:dyDescent="0.25">
      <c r="A3496" s="3" t="str">
        <f>HYPERLINK("http://www.ncbi.nlm.nih.gov/gene/6185","6185")</f>
        <v>6185</v>
      </c>
      <c r="B3496" s="1" t="s">
        <v>8188</v>
      </c>
      <c r="C3496" t="s">
        <v>8189</v>
      </c>
      <c r="D3496">
        <v>134.19999999999999</v>
      </c>
      <c r="E3496">
        <v>139.4</v>
      </c>
      <c r="F3496">
        <v>100</v>
      </c>
      <c r="G3496">
        <v>100</v>
      </c>
      <c r="H3496">
        <v>133.6</v>
      </c>
      <c r="I3496">
        <v>136.9</v>
      </c>
      <c r="J3496">
        <v>100</v>
      </c>
      <c r="K3496">
        <v>100</v>
      </c>
      <c r="L3496" s="1" t="s">
        <v>8188</v>
      </c>
      <c r="M3496" t="s">
        <v>93</v>
      </c>
      <c r="N3496">
        <v>2</v>
      </c>
    </row>
    <row r="3497" spans="1:14" x14ac:dyDescent="0.25">
      <c r="A3497" s="3" t="str">
        <f>HYPERLINK("http://www.ncbi.nlm.nih.gov/gene/6204","6204")</f>
        <v>6204</v>
      </c>
      <c r="B3497" s="1" t="s">
        <v>8190</v>
      </c>
      <c r="C3497" t="s">
        <v>8191</v>
      </c>
      <c r="D3497">
        <v>106.2</v>
      </c>
      <c r="E3497">
        <v>103.4</v>
      </c>
      <c r="F3497">
        <v>98</v>
      </c>
      <c r="G3497">
        <v>92.5</v>
      </c>
      <c r="H3497">
        <v>146.6</v>
      </c>
      <c r="I3497">
        <v>150.69999999999999</v>
      </c>
      <c r="J3497">
        <v>100</v>
      </c>
      <c r="K3497">
        <v>100</v>
      </c>
      <c r="L3497" s="1" t="s">
        <v>8190</v>
      </c>
      <c r="M3497" t="s">
        <v>2625</v>
      </c>
      <c r="N3497">
        <v>3</v>
      </c>
    </row>
    <row r="3498" spans="1:14" x14ac:dyDescent="0.25">
      <c r="A3498" s="3" t="str">
        <f>HYPERLINK("http://www.ncbi.nlm.nih.gov/gene/6208","6208")</f>
        <v>6208</v>
      </c>
      <c r="B3498" s="1" t="s">
        <v>8192</v>
      </c>
      <c r="C3498" t="s">
        <v>8193</v>
      </c>
      <c r="D3498">
        <v>133.9</v>
      </c>
      <c r="E3498">
        <v>130.5</v>
      </c>
      <c r="F3498">
        <v>98.8</v>
      </c>
      <c r="G3498">
        <v>95</v>
      </c>
      <c r="H3498">
        <v>154.1</v>
      </c>
      <c r="I3498">
        <v>158.19999999999999</v>
      </c>
      <c r="J3498">
        <v>100</v>
      </c>
      <c r="K3498">
        <v>100</v>
      </c>
      <c r="L3498" s="1" t="s">
        <v>8192</v>
      </c>
      <c r="M3498" t="s">
        <v>22</v>
      </c>
      <c r="N3498">
        <v>1</v>
      </c>
    </row>
    <row r="3499" spans="1:14" x14ac:dyDescent="0.25">
      <c r="A3499" s="3" t="str">
        <f>HYPERLINK("http://www.ncbi.nlm.nih.gov/gene/6210","6210")</f>
        <v>6210</v>
      </c>
      <c r="B3499" s="1" t="s">
        <v>8194</v>
      </c>
      <c r="C3499" t="s">
        <v>8195</v>
      </c>
      <c r="D3499">
        <v>68.599999999999994</v>
      </c>
      <c r="E3499">
        <v>68.5</v>
      </c>
      <c r="F3499">
        <v>96.9</v>
      </c>
      <c r="G3499">
        <v>86.7</v>
      </c>
      <c r="H3499">
        <v>121.9</v>
      </c>
      <c r="I3499">
        <v>124.1</v>
      </c>
      <c r="J3499">
        <v>80.5</v>
      </c>
      <c r="K3499">
        <v>80.400000000000006</v>
      </c>
      <c r="L3499" s="1" t="s">
        <v>8194</v>
      </c>
      <c r="M3499" t="s">
        <v>2625</v>
      </c>
      <c r="N3499">
        <v>3</v>
      </c>
    </row>
    <row r="3500" spans="1:14" x14ac:dyDescent="0.25">
      <c r="A3500" s="3" t="str">
        <f>HYPERLINK("http://www.ncbi.nlm.nih.gov/gene/6218","6218")</f>
        <v>6218</v>
      </c>
      <c r="B3500" s="1" t="s">
        <v>8196</v>
      </c>
      <c r="C3500" t="s">
        <v>8197</v>
      </c>
      <c r="D3500">
        <v>42.9</v>
      </c>
      <c r="E3500">
        <v>43.8</v>
      </c>
      <c r="F3500">
        <v>84.2</v>
      </c>
      <c r="G3500">
        <v>69.8</v>
      </c>
      <c r="H3500">
        <v>80.5</v>
      </c>
      <c r="I3500">
        <v>82.4</v>
      </c>
      <c r="J3500">
        <v>100</v>
      </c>
      <c r="K3500">
        <v>100</v>
      </c>
      <c r="L3500" s="1" t="s">
        <v>8196</v>
      </c>
      <c r="M3500" t="s">
        <v>2625</v>
      </c>
      <c r="N3500">
        <v>3</v>
      </c>
    </row>
    <row r="3501" spans="1:14" x14ac:dyDescent="0.25">
      <c r="A3501" s="3" t="str">
        <f>HYPERLINK("http://www.ncbi.nlm.nih.gov/gene/6223","6223")</f>
        <v>6223</v>
      </c>
      <c r="B3501" s="1" t="s">
        <v>8198</v>
      </c>
      <c r="C3501" t="s">
        <v>8199</v>
      </c>
      <c r="D3501">
        <v>91.8</v>
      </c>
      <c r="E3501">
        <v>92.9</v>
      </c>
      <c r="F3501">
        <v>100</v>
      </c>
      <c r="G3501">
        <v>99.6</v>
      </c>
      <c r="H3501">
        <v>129.1</v>
      </c>
      <c r="I3501">
        <v>131.80000000000001</v>
      </c>
      <c r="J3501">
        <v>100</v>
      </c>
      <c r="K3501">
        <v>100</v>
      </c>
      <c r="L3501" s="1" t="s">
        <v>8198</v>
      </c>
      <c r="M3501" t="s">
        <v>8200</v>
      </c>
      <c r="N3501">
        <v>5</v>
      </c>
    </row>
    <row r="3502" spans="1:14" x14ac:dyDescent="0.25">
      <c r="A3502" s="3" t="str">
        <f>HYPERLINK("http://www.ncbi.nlm.nih.gov/gene/6224","6224")</f>
        <v>6224</v>
      </c>
      <c r="B3502" s="1" t="s">
        <v>8201</v>
      </c>
      <c r="C3502" t="s">
        <v>8202</v>
      </c>
      <c r="D3502">
        <v>81.900000000000006</v>
      </c>
      <c r="E3502">
        <v>81</v>
      </c>
      <c r="F3502">
        <v>98.6</v>
      </c>
      <c r="G3502">
        <v>93.6</v>
      </c>
      <c r="H3502">
        <v>151</v>
      </c>
      <c r="I3502">
        <v>154.1</v>
      </c>
      <c r="J3502">
        <v>100</v>
      </c>
      <c r="K3502">
        <v>100</v>
      </c>
      <c r="L3502" s="1" t="s">
        <v>8201</v>
      </c>
      <c r="M3502" t="s">
        <v>19</v>
      </c>
      <c r="N3502">
        <v>2</v>
      </c>
    </row>
    <row r="3503" spans="1:14" x14ac:dyDescent="0.25">
      <c r="A3503" s="3" t="str">
        <f>HYPERLINK("http://www.ncbi.nlm.nih.gov/gene/6228","6228")</f>
        <v>6228</v>
      </c>
      <c r="B3503" s="1" t="s">
        <v>8203</v>
      </c>
      <c r="C3503" t="s">
        <v>8204</v>
      </c>
      <c r="D3503">
        <v>60.7</v>
      </c>
      <c r="E3503">
        <v>61.8</v>
      </c>
      <c r="F3503">
        <v>87.8</v>
      </c>
      <c r="G3503">
        <v>80.099999999999994</v>
      </c>
      <c r="H3503">
        <v>161.80000000000001</v>
      </c>
      <c r="I3503">
        <v>167.2</v>
      </c>
      <c r="J3503">
        <v>100</v>
      </c>
      <c r="K3503">
        <v>100</v>
      </c>
      <c r="L3503" s="1" t="s">
        <v>8203</v>
      </c>
      <c r="M3503" t="s">
        <v>285</v>
      </c>
      <c r="N3503">
        <v>1</v>
      </c>
    </row>
    <row r="3504" spans="1:14" x14ac:dyDescent="0.25">
      <c r="A3504" s="3" t="str">
        <f>HYPERLINK("http://www.ncbi.nlm.nih.gov/gene/6229","6229")</f>
        <v>6229</v>
      </c>
      <c r="B3504" s="1" t="s">
        <v>8205</v>
      </c>
      <c r="C3504" t="s">
        <v>8206</v>
      </c>
      <c r="D3504">
        <v>108.3</v>
      </c>
      <c r="E3504">
        <v>99.2</v>
      </c>
      <c r="F3504">
        <v>98.4</v>
      </c>
      <c r="G3504">
        <v>93.1</v>
      </c>
      <c r="H3504">
        <v>155</v>
      </c>
      <c r="I3504">
        <v>158.80000000000001</v>
      </c>
      <c r="J3504">
        <v>100</v>
      </c>
      <c r="K3504">
        <v>100</v>
      </c>
      <c r="L3504" s="1" t="s">
        <v>8205</v>
      </c>
      <c r="M3504" t="s">
        <v>2625</v>
      </c>
      <c r="N3504">
        <v>3</v>
      </c>
    </row>
    <row r="3505" spans="1:14" x14ac:dyDescent="0.25">
      <c r="A3505" s="3" t="str">
        <f>HYPERLINK("http://www.ncbi.nlm.nih.gov/gene/6231","6231")</f>
        <v>6231</v>
      </c>
      <c r="B3505" s="1" t="s">
        <v>8207</v>
      </c>
      <c r="C3505" t="s">
        <v>8208</v>
      </c>
      <c r="D3505">
        <v>93.9</v>
      </c>
      <c r="E3505">
        <v>92.6</v>
      </c>
      <c r="F3505">
        <v>95.7</v>
      </c>
      <c r="G3505">
        <v>84.9</v>
      </c>
      <c r="H3505">
        <v>133.4</v>
      </c>
      <c r="I3505">
        <v>137.1</v>
      </c>
      <c r="J3505">
        <v>100</v>
      </c>
      <c r="K3505">
        <v>100</v>
      </c>
      <c r="L3505" s="1" t="s">
        <v>8207</v>
      </c>
      <c r="M3505" t="s">
        <v>8161</v>
      </c>
      <c r="N3505">
        <v>4</v>
      </c>
    </row>
    <row r="3506" spans="1:14" x14ac:dyDescent="0.25">
      <c r="A3506" s="3" t="str">
        <f>HYPERLINK("http://www.ncbi.nlm.nih.gov/gene/6232","6232")</f>
        <v>6232</v>
      </c>
      <c r="B3506" s="1" t="s">
        <v>8209</v>
      </c>
      <c r="C3506" t="s">
        <v>8210</v>
      </c>
      <c r="D3506">
        <v>43.4</v>
      </c>
      <c r="E3506">
        <v>42.9</v>
      </c>
      <c r="F3506">
        <v>85.9</v>
      </c>
      <c r="G3506">
        <v>60.6</v>
      </c>
      <c r="H3506">
        <v>120.5</v>
      </c>
      <c r="I3506">
        <v>122.5</v>
      </c>
      <c r="J3506">
        <v>100</v>
      </c>
      <c r="K3506">
        <v>100</v>
      </c>
      <c r="L3506" s="1" t="s">
        <v>8209</v>
      </c>
      <c r="M3506" t="s">
        <v>2625</v>
      </c>
      <c r="N3506">
        <v>3</v>
      </c>
    </row>
    <row r="3507" spans="1:14" x14ac:dyDescent="0.25">
      <c r="A3507" s="3" t="str">
        <f>HYPERLINK("http://www.ncbi.nlm.nih.gov/gene/6234","6234")</f>
        <v>6234</v>
      </c>
      <c r="B3507" s="1" t="s">
        <v>8211</v>
      </c>
      <c r="C3507" t="s">
        <v>8212</v>
      </c>
      <c r="D3507">
        <v>62.8</v>
      </c>
      <c r="E3507">
        <v>57.7</v>
      </c>
      <c r="F3507">
        <v>100</v>
      </c>
      <c r="G3507">
        <v>94.8</v>
      </c>
      <c r="H3507">
        <v>134.4</v>
      </c>
      <c r="I3507">
        <v>136.4</v>
      </c>
      <c r="J3507">
        <v>100</v>
      </c>
      <c r="K3507">
        <v>100</v>
      </c>
      <c r="L3507" s="1" t="s">
        <v>8211</v>
      </c>
      <c r="M3507" t="s">
        <v>8161</v>
      </c>
      <c r="N3507">
        <v>4</v>
      </c>
    </row>
    <row r="3508" spans="1:14" x14ac:dyDescent="0.25">
      <c r="A3508" s="3" t="str">
        <f>HYPERLINK("http://www.ncbi.nlm.nih.gov/gene/6235","6235")</f>
        <v>6235</v>
      </c>
      <c r="B3508" s="1" t="s">
        <v>8213</v>
      </c>
      <c r="C3508" t="s">
        <v>8214</v>
      </c>
      <c r="D3508">
        <v>84.4</v>
      </c>
      <c r="E3508">
        <v>76.3</v>
      </c>
      <c r="F3508">
        <v>82</v>
      </c>
      <c r="G3508">
        <v>74.7</v>
      </c>
      <c r="H3508">
        <v>150</v>
      </c>
      <c r="I3508">
        <v>153</v>
      </c>
      <c r="J3508">
        <v>100</v>
      </c>
      <c r="K3508">
        <v>100</v>
      </c>
      <c r="L3508" s="1" t="s">
        <v>8213</v>
      </c>
      <c r="M3508" t="s">
        <v>2625</v>
      </c>
      <c r="N3508">
        <v>3</v>
      </c>
    </row>
    <row r="3509" spans="1:14" x14ac:dyDescent="0.25">
      <c r="A3509" s="3" t="str">
        <f>HYPERLINK("http://www.ncbi.nlm.nih.gov/gene/6197","6197")</f>
        <v>6197</v>
      </c>
      <c r="B3509" s="1" t="s">
        <v>8215</v>
      </c>
      <c r="C3509" t="s">
        <v>8216</v>
      </c>
      <c r="D3509">
        <v>101.3</v>
      </c>
      <c r="E3509">
        <v>104.4</v>
      </c>
      <c r="F3509">
        <v>98.4</v>
      </c>
      <c r="G3509">
        <v>94.5</v>
      </c>
      <c r="H3509">
        <v>109.8</v>
      </c>
      <c r="I3509">
        <v>112.2</v>
      </c>
      <c r="J3509">
        <v>100</v>
      </c>
      <c r="K3509">
        <v>98.9</v>
      </c>
      <c r="L3509" s="1" t="s">
        <v>8215</v>
      </c>
      <c r="M3509" t="s">
        <v>1425</v>
      </c>
      <c r="N3509">
        <v>3</v>
      </c>
    </row>
    <row r="3510" spans="1:14" x14ac:dyDescent="0.25">
      <c r="A3510" s="3" t="str">
        <f>HYPERLINK("http://www.ncbi.nlm.nih.gov/gene/6201","6201")</f>
        <v>6201</v>
      </c>
      <c r="B3510" s="1" t="s">
        <v>8217</v>
      </c>
      <c r="C3510" t="s">
        <v>8218</v>
      </c>
      <c r="D3510">
        <v>115</v>
      </c>
      <c r="E3510">
        <v>112</v>
      </c>
      <c r="F3510">
        <v>80</v>
      </c>
      <c r="G3510">
        <v>68.7</v>
      </c>
      <c r="H3510">
        <v>139.19999999999999</v>
      </c>
      <c r="I3510">
        <v>141.5</v>
      </c>
      <c r="J3510">
        <v>100</v>
      </c>
      <c r="K3510">
        <v>100</v>
      </c>
      <c r="L3510" s="1" t="s">
        <v>8217</v>
      </c>
      <c r="M3510" t="s">
        <v>2625</v>
      </c>
      <c r="N3510">
        <v>3</v>
      </c>
    </row>
    <row r="3511" spans="1:14" x14ac:dyDescent="0.25">
      <c r="A3511" s="3" t="str">
        <f>HYPERLINK("http://www.ncbi.nlm.nih.gov/gene/3921","3921")</f>
        <v>3921</v>
      </c>
      <c r="B3511" s="1" t="s">
        <v>8219</v>
      </c>
      <c r="C3511" t="s">
        <v>8220</v>
      </c>
      <c r="D3511">
        <v>78.400000000000006</v>
      </c>
      <c r="E3511">
        <v>75.7</v>
      </c>
      <c r="F3511">
        <v>100</v>
      </c>
      <c r="G3511">
        <v>99.8</v>
      </c>
      <c r="H3511">
        <v>127.6</v>
      </c>
      <c r="I3511">
        <v>131.30000000000001</v>
      </c>
      <c r="J3511">
        <v>100</v>
      </c>
      <c r="K3511">
        <v>100</v>
      </c>
      <c r="L3511" s="1" t="s">
        <v>8219</v>
      </c>
      <c r="M3511" t="s">
        <v>562</v>
      </c>
      <c r="N3511">
        <v>2</v>
      </c>
    </row>
    <row r="3512" spans="1:14" x14ac:dyDescent="0.25">
      <c r="A3512" s="3" t="str">
        <f>HYPERLINK("http://www.ncbi.nlm.nih.gov/gene/6236","6236")</f>
        <v>6236</v>
      </c>
      <c r="B3512" s="1" t="s">
        <v>8221</v>
      </c>
      <c r="C3512" t="s">
        <v>8222</v>
      </c>
      <c r="D3512">
        <v>151.1</v>
      </c>
      <c r="E3512">
        <v>143.80000000000001</v>
      </c>
      <c r="F3512">
        <v>85.4</v>
      </c>
      <c r="G3512">
        <v>80.7</v>
      </c>
      <c r="H3512">
        <v>131.80000000000001</v>
      </c>
      <c r="I3512">
        <v>137.80000000000001</v>
      </c>
      <c r="J3512">
        <v>99.4</v>
      </c>
      <c r="K3512">
        <v>96.2</v>
      </c>
      <c r="L3512" s="1" t="s">
        <v>8221</v>
      </c>
      <c r="M3512" t="s">
        <v>197</v>
      </c>
      <c r="N3512">
        <v>2</v>
      </c>
    </row>
    <row r="3513" spans="1:14" x14ac:dyDescent="0.25">
      <c r="A3513" s="3" t="str">
        <f>HYPERLINK("http://www.ncbi.nlm.nih.gov/gene/64121","64121")</f>
        <v>64121</v>
      </c>
      <c r="B3513" s="1" t="s">
        <v>8223</v>
      </c>
      <c r="C3513" t="s">
        <v>8224</v>
      </c>
      <c r="D3513">
        <v>115.2</v>
      </c>
      <c r="E3513">
        <v>120.4</v>
      </c>
      <c r="F3513">
        <v>100</v>
      </c>
      <c r="G3513">
        <v>99.7</v>
      </c>
      <c r="H3513">
        <v>135.5</v>
      </c>
      <c r="I3513">
        <v>139.1</v>
      </c>
      <c r="J3513">
        <v>100</v>
      </c>
      <c r="K3513">
        <v>100</v>
      </c>
      <c r="L3513" s="1" t="s">
        <v>8223</v>
      </c>
      <c r="M3513" t="s">
        <v>197</v>
      </c>
      <c r="N3513">
        <v>2</v>
      </c>
    </row>
    <row r="3514" spans="1:14" x14ac:dyDescent="0.25">
      <c r="A3514" s="3" t="str">
        <f>HYPERLINK("http://www.ncbi.nlm.nih.gov/gene/6237","6237")</f>
        <v>6237</v>
      </c>
      <c r="B3514" s="1" t="s">
        <v>8225</v>
      </c>
      <c r="C3514" t="s">
        <v>8226</v>
      </c>
      <c r="D3514">
        <v>134.9</v>
      </c>
      <c r="E3514">
        <v>137.1</v>
      </c>
      <c r="F3514">
        <v>99.8</v>
      </c>
      <c r="G3514">
        <v>95.7</v>
      </c>
      <c r="H3514">
        <v>107.9</v>
      </c>
      <c r="I3514">
        <v>110.1</v>
      </c>
      <c r="J3514">
        <v>100</v>
      </c>
      <c r="K3514">
        <v>100</v>
      </c>
      <c r="L3514" s="1" t="s">
        <v>8225</v>
      </c>
      <c r="M3514" t="s">
        <v>1253</v>
      </c>
      <c r="N3514">
        <v>2</v>
      </c>
    </row>
    <row r="3515" spans="1:14" x14ac:dyDescent="0.25">
      <c r="A3515" s="3" t="str">
        <f>HYPERLINK("http://www.ncbi.nlm.nih.gov/gene/22800","22800")</f>
        <v>22800</v>
      </c>
      <c r="B3515" s="1" t="s">
        <v>8227</v>
      </c>
      <c r="C3515" t="s">
        <v>8228</v>
      </c>
      <c r="D3515">
        <v>88.5</v>
      </c>
      <c r="E3515">
        <v>89.9</v>
      </c>
      <c r="F3515">
        <v>96.8</v>
      </c>
      <c r="G3515">
        <v>88.7</v>
      </c>
      <c r="H3515">
        <v>115.4</v>
      </c>
      <c r="I3515">
        <v>118</v>
      </c>
      <c r="J3515">
        <v>100</v>
      </c>
      <c r="K3515">
        <v>100</v>
      </c>
      <c r="L3515" s="1" t="s">
        <v>8227</v>
      </c>
      <c r="M3515" t="s">
        <v>285</v>
      </c>
      <c r="N3515">
        <v>1</v>
      </c>
    </row>
    <row r="3516" spans="1:14" x14ac:dyDescent="0.25">
      <c r="A3516" s="3" t="str">
        <f>HYPERLINK("http://www.ncbi.nlm.nih.gov/gene/6239","6239")</f>
        <v>6239</v>
      </c>
      <c r="B3516" s="1" t="s">
        <v>8229</v>
      </c>
      <c r="C3516" t="s">
        <v>8230</v>
      </c>
      <c r="D3516">
        <v>172.8</v>
      </c>
      <c r="E3516">
        <v>173.9</v>
      </c>
      <c r="F3516">
        <v>99.9</v>
      </c>
      <c r="G3516">
        <v>99.2</v>
      </c>
      <c r="H3516">
        <v>156.19999999999999</v>
      </c>
      <c r="I3516">
        <v>156.1</v>
      </c>
      <c r="J3516">
        <v>100</v>
      </c>
      <c r="K3516">
        <v>100</v>
      </c>
      <c r="L3516" s="1" t="s">
        <v>8229</v>
      </c>
      <c r="M3516" t="s">
        <v>8231</v>
      </c>
      <c r="N3516">
        <v>3</v>
      </c>
    </row>
    <row r="3517" spans="1:14" x14ac:dyDescent="0.25">
      <c r="A3517" s="3" t="str">
        <f>HYPERLINK("http://www.ncbi.nlm.nih.gov/gene/6240","6240")</f>
        <v>6240</v>
      </c>
      <c r="B3517" s="1" t="s">
        <v>8232</v>
      </c>
      <c r="C3517" t="s">
        <v>8233</v>
      </c>
      <c r="D3517">
        <v>136.1</v>
      </c>
      <c r="E3517">
        <v>142.69999999999999</v>
      </c>
      <c r="F3517">
        <v>100</v>
      </c>
      <c r="G3517">
        <v>99.5</v>
      </c>
      <c r="H3517">
        <v>131</v>
      </c>
      <c r="I3517">
        <v>134.80000000000001</v>
      </c>
      <c r="J3517">
        <v>100</v>
      </c>
      <c r="K3517">
        <v>100</v>
      </c>
      <c r="L3517" s="1" t="s">
        <v>8232</v>
      </c>
      <c r="M3517" t="s">
        <v>265</v>
      </c>
      <c r="N3517">
        <v>2</v>
      </c>
    </row>
    <row r="3518" spans="1:14" x14ac:dyDescent="0.25">
      <c r="A3518" s="3" t="str">
        <f>HYPERLINK("http://www.ncbi.nlm.nih.gov/gene/50484","50484")</f>
        <v>50484</v>
      </c>
      <c r="B3518" s="1" t="s">
        <v>8234</v>
      </c>
      <c r="C3518" t="s">
        <v>8235</v>
      </c>
      <c r="D3518">
        <v>156.4</v>
      </c>
      <c r="E3518">
        <v>163.80000000000001</v>
      </c>
      <c r="F3518">
        <v>100</v>
      </c>
      <c r="G3518">
        <v>99.7</v>
      </c>
      <c r="H3518">
        <v>124.9</v>
      </c>
      <c r="I3518">
        <v>128</v>
      </c>
      <c r="J3518">
        <v>100</v>
      </c>
      <c r="K3518">
        <v>100</v>
      </c>
      <c r="L3518" s="1" t="s">
        <v>8234</v>
      </c>
      <c r="M3518" t="s">
        <v>8236</v>
      </c>
      <c r="N3518">
        <v>8</v>
      </c>
    </row>
    <row r="3519" spans="1:14" x14ac:dyDescent="0.25">
      <c r="A3519" s="3" t="str">
        <f>HYPERLINK("http://www.ncbi.nlm.nih.gov/gene/6247","6247")</f>
        <v>6247</v>
      </c>
      <c r="B3519" s="1" t="s">
        <v>8237</v>
      </c>
      <c r="C3519" t="s">
        <v>8238</v>
      </c>
      <c r="D3519">
        <v>58.4</v>
      </c>
      <c r="E3519">
        <v>60.6</v>
      </c>
      <c r="F3519">
        <v>99.8</v>
      </c>
      <c r="G3519">
        <v>93.9</v>
      </c>
      <c r="H3519">
        <v>136.4</v>
      </c>
      <c r="I3519">
        <v>139.5</v>
      </c>
      <c r="J3519">
        <v>100</v>
      </c>
      <c r="K3519">
        <v>100</v>
      </c>
      <c r="L3519" s="1" t="s">
        <v>8237</v>
      </c>
      <c r="M3519" t="s">
        <v>6732</v>
      </c>
      <c r="N3519">
        <v>2</v>
      </c>
    </row>
    <row r="3520" spans="1:14" x14ac:dyDescent="0.25">
      <c r="A3520" s="3" t="str">
        <f>HYPERLINK("http://www.ncbi.nlm.nih.gov/gene/89765","89765")</f>
        <v>89765</v>
      </c>
      <c r="B3520" s="1" t="s">
        <v>8239</v>
      </c>
      <c r="C3520" t="s">
        <v>8240</v>
      </c>
      <c r="D3520">
        <v>162.69999999999999</v>
      </c>
      <c r="E3520">
        <v>167.1</v>
      </c>
      <c r="F3520">
        <v>100</v>
      </c>
      <c r="G3520">
        <v>100</v>
      </c>
      <c r="H3520">
        <v>148.6</v>
      </c>
      <c r="I3520">
        <v>152.1</v>
      </c>
      <c r="J3520">
        <v>100</v>
      </c>
      <c r="K3520">
        <v>100</v>
      </c>
      <c r="L3520" s="1" t="s">
        <v>8239</v>
      </c>
      <c r="M3520" t="s">
        <v>1483</v>
      </c>
      <c r="N3520">
        <v>3</v>
      </c>
    </row>
    <row r="3521" spans="1:14" x14ac:dyDescent="0.25">
      <c r="A3521" s="3" t="str">
        <f>HYPERLINK("http://www.ncbi.nlm.nih.gov/gene/83861","83861")</f>
        <v>83861</v>
      </c>
      <c r="B3521" s="1" t="s">
        <v>8241</v>
      </c>
      <c r="C3521" t="s">
        <v>8242</v>
      </c>
      <c r="D3521">
        <v>140.69999999999999</v>
      </c>
      <c r="E3521">
        <v>148.69999999999999</v>
      </c>
      <c r="F3521">
        <v>99.9</v>
      </c>
      <c r="G3521">
        <v>98.8</v>
      </c>
      <c r="H3521">
        <v>151.4</v>
      </c>
      <c r="I3521">
        <v>155.4</v>
      </c>
      <c r="J3521">
        <v>100</v>
      </c>
      <c r="K3521">
        <v>100</v>
      </c>
      <c r="L3521" s="1" t="s">
        <v>8241</v>
      </c>
      <c r="M3521" t="s">
        <v>1483</v>
      </c>
      <c r="N3521">
        <v>3</v>
      </c>
    </row>
    <row r="3522" spans="1:14" x14ac:dyDescent="0.25">
      <c r="A3522" s="3" t="str">
        <f>HYPERLINK("http://www.ncbi.nlm.nih.gov/gene/345895","345895")</f>
        <v>345895</v>
      </c>
      <c r="B3522" s="1" t="s">
        <v>8243</v>
      </c>
      <c r="C3522" t="s">
        <v>8244</v>
      </c>
      <c r="D3522">
        <v>170.7</v>
      </c>
      <c r="E3522">
        <v>171.2</v>
      </c>
      <c r="F3522">
        <v>98.1</v>
      </c>
      <c r="G3522">
        <v>95.6</v>
      </c>
      <c r="H3522">
        <v>143</v>
      </c>
      <c r="I3522">
        <v>144.9</v>
      </c>
      <c r="J3522">
        <v>100</v>
      </c>
      <c r="K3522">
        <v>100</v>
      </c>
      <c r="L3522" s="1" t="s">
        <v>8243</v>
      </c>
      <c r="M3522" t="s">
        <v>1500</v>
      </c>
      <c r="N3522">
        <v>3</v>
      </c>
    </row>
    <row r="3523" spans="1:14" x14ac:dyDescent="0.25">
      <c r="A3523" s="3" t="str">
        <f>HYPERLINK("http://www.ncbi.nlm.nih.gov/gene/221421","221421")</f>
        <v>221421</v>
      </c>
      <c r="B3523" s="1" t="s">
        <v>8245</v>
      </c>
      <c r="C3523" t="s">
        <v>8246</v>
      </c>
      <c r="D3523">
        <v>129.1</v>
      </c>
      <c r="E3523">
        <v>135.9</v>
      </c>
      <c r="F3523">
        <v>99.9</v>
      </c>
      <c r="G3523">
        <v>97.9</v>
      </c>
      <c r="H3523">
        <v>152</v>
      </c>
      <c r="I3523">
        <v>156.80000000000001</v>
      </c>
      <c r="J3523">
        <v>100</v>
      </c>
      <c r="K3523">
        <v>100</v>
      </c>
      <c r="L3523" s="1" t="s">
        <v>8245</v>
      </c>
      <c r="M3523" t="s">
        <v>8247</v>
      </c>
      <c r="N3523">
        <v>4</v>
      </c>
    </row>
    <row r="3524" spans="1:14" x14ac:dyDescent="0.25">
      <c r="A3524" s="3" t="str">
        <f>HYPERLINK("http://www.ncbi.nlm.nih.gov/gene/284654","284654")</f>
        <v>284654</v>
      </c>
      <c r="B3524" s="1" t="s">
        <v>8248</v>
      </c>
      <c r="C3524" t="s">
        <v>8249</v>
      </c>
      <c r="D3524">
        <v>92.5</v>
      </c>
      <c r="E3524">
        <v>96.2</v>
      </c>
      <c r="F3524">
        <v>100</v>
      </c>
      <c r="G3524">
        <v>99.9</v>
      </c>
      <c r="H3524">
        <v>170</v>
      </c>
      <c r="I3524">
        <v>175.2</v>
      </c>
      <c r="J3524">
        <v>100</v>
      </c>
      <c r="K3524">
        <v>100</v>
      </c>
      <c r="L3524" s="1" t="s">
        <v>8248</v>
      </c>
      <c r="M3524" t="s">
        <v>8250</v>
      </c>
      <c r="N3524">
        <v>4</v>
      </c>
    </row>
    <row r="3525" spans="1:14" x14ac:dyDescent="0.25">
      <c r="A3525" s="3" t="str">
        <f>HYPERLINK("http://www.ncbi.nlm.nih.gov/gene/340419","340419")</f>
        <v>340419</v>
      </c>
      <c r="B3525" s="1" t="s">
        <v>8251</v>
      </c>
      <c r="C3525" t="s">
        <v>8252</v>
      </c>
      <c r="D3525">
        <v>160.19999999999999</v>
      </c>
      <c r="E3525">
        <v>167</v>
      </c>
      <c r="F3525">
        <v>97.1</v>
      </c>
      <c r="G3525">
        <v>90.7</v>
      </c>
      <c r="H3525">
        <v>171.4</v>
      </c>
      <c r="I3525">
        <v>176.7</v>
      </c>
      <c r="J3525">
        <v>100</v>
      </c>
      <c r="K3525">
        <v>100</v>
      </c>
      <c r="L3525" s="1" t="s">
        <v>8251</v>
      </c>
      <c r="M3525" t="s">
        <v>1168</v>
      </c>
      <c r="N3525">
        <v>3</v>
      </c>
    </row>
    <row r="3526" spans="1:14" x14ac:dyDescent="0.25">
      <c r="A3526" s="3" t="str">
        <f>HYPERLINK("http://www.ncbi.nlm.nih.gov/gene/343637","343637")</f>
        <v>343637</v>
      </c>
      <c r="B3526" s="1" t="s">
        <v>8253</v>
      </c>
      <c r="C3526" t="s">
        <v>8254</v>
      </c>
      <c r="D3526">
        <v>114.5</v>
      </c>
      <c r="E3526">
        <v>121.1</v>
      </c>
      <c r="F3526">
        <v>100</v>
      </c>
      <c r="G3526">
        <v>100</v>
      </c>
      <c r="H3526">
        <v>159.19999999999999</v>
      </c>
      <c r="I3526">
        <v>162.6</v>
      </c>
      <c r="J3526">
        <v>100</v>
      </c>
      <c r="K3526">
        <v>100</v>
      </c>
      <c r="L3526" s="1" t="s">
        <v>8253</v>
      </c>
      <c r="M3526" t="s">
        <v>246</v>
      </c>
      <c r="N3526">
        <v>3</v>
      </c>
    </row>
    <row r="3527" spans="1:14" x14ac:dyDescent="0.25">
      <c r="A3527" s="3" t="str">
        <f>HYPERLINK("http://www.ncbi.nlm.nih.gov/gene/89970","89970")</f>
        <v>89970</v>
      </c>
      <c r="B3527" s="1" t="s">
        <v>8255</v>
      </c>
      <c r="C3527" t="s">
        <v>8256</v>
      </c>
      <c r="D3527">
        <v>170.4</v>
      </c>
      <c r="E3527">
        <v>173</v>
      </c>
      <c r="F3527">
        <v>100</v>
      </c>
      <c r="G3527">
        <v>100</v>
      </c>
      <c r="H3527">
        <v>118.7</v>
      </c>
      <c r="I3527">
        <v>121.4</v>
      </c>
      <c r="J3527">
        <v>100</v>
      </c>
      <c r="K3527">
        <v>100</v>
      </c>
      <c r="L3527" s="1" t="s">
        <v>8255</v>
      </c>
      <c r="M3527" t="s">
        <v>656</v>
      </c>
      <c r="N3527">
        <v>4</v>
      </c>
    </row>
    <row r="3528" spans="1:14" x14ac:dyDescent="0.25">
      <c r="A3528" s="3" t="str">
        <f>HYPERLINK("http://www.ncbi.nlm.nih.gov/gene/51319","51319")</f>
        <v>51319</v>
      </c>
      <c r="B3528" s="1" t="s">
        <v>8257</v>
      </c>
      <c r="C3528" t="s">
        <v>8258</v>
      </c>
      <c r="D3528">
        <v>77.900000000000006</v>
      </c>
      <c r="E3528">
        <v>80</v>
      </c>
      <c r="F3528">
        <v>99.8</v>
      </c>
      <c r="G3528">
        <v>96.8</v>
      </c>
      <c r="H3528">
        <v>110.9</v>
      </c>
      <c r="I3528">
        <v>113.9</v>
      </c>
      <c r="J3528">
        <v>100</v>
      </c>
      <c r="K3528">
        <v>100</v>
      </c>
      <c r="L3528" s="1" t="s">
        <v>8257</v>
      </c>
      <c r="M3528" t="s">
        <v>228</v>
      </c>
      <c r="N3528">
        <v>3</v>
      </c>
    </row>
    <row r="3529" spans="1:14" x14ac:dyDescent="0.25">
      <c r="A3529" s="3" t="str">
        <f>HYPERLINK("http://www.ncbi.nlm.nih.gov/gene/51750","51750")</f>
        <v>51750</v>
      </c>
      <c r="B3529" s="1" t="s">
        <v>8259</v>
      </c>
      <c r="C3529" t="s">
        <v>8260</v>
      </c>
      <c r="D3529">
        <v>127</v>
      </c>
      <c r="E3529">
        <v>127.7</v>
      </c>
      <c r="F3529">
        <v>99.5</v>
      </c>
      <c r="G3529">
        <v>96.8</v>
      </c>
      <c r="H3529">
        <v>142.9</v>
      </c>
      <c r="I3529">
        <v>146.4</v>
      </c>
      <c r="J3529">
        <v>100</v>
      </c>
      <c r="K3529">
        <v>100</v>
      </c>
      <c r="L3529" s="1" t="s">
        <v>8259</v>
      </c>
      <c r="M3529" t="s">
        <v>8261</v>
      </c>
      <c r="N3529">
        <v>8</v>
      </c>
    </row>
    <row r="3530" spans="1:14" x14ac:dyDescent="0.25">
      <c r="A3530" s="3" t="str">
        <f>HYPERLINK("http://www.ncbi.nlm.nih.gov/gene/6253","6253")</f>
        <v>6253</v>
      </c>
      <c r="B3530" s="1" t="s">
        <v>8262</v>
      </c>
      <c r="C3530" t="s">
        <v>8263</v>
      </c>
      <c r="D3530">
        <v>144.6</v>
      </c>
      <c r="E3530">
        <v>138.69999999999999</v>
      </c>
      <c r="F3530">
        <v>100</v>
      </c>
      <c r="G3530">
        <v>99.2</v>
      </c>
      <c r="H3530">
        <v>144</v>
      </c>
      <c r="I3530">
        <v>147.19999999999999</v>
      </c>
      <c r="J3530">
        <v>100</v>
      </c>
      <c r="K3530">
        <v>100</v>
      </c>
      <c r="L3530" s="1" t="s">
        <v>8262</v>
      </c>
      <c r="M3530" t="s">
        <v>600</v>
      </c>
      <c r="N3530">
        <v>2</v>
      </c>
    </row>
    <row r="3531" spans="1:14" x14ac:dyDescent="0.25">
      <c r="A3531" s="3" t="str">
        <f>HYPERLINK("http://www.ncbi.nlm.nih.gov/gene/84816","84816")</f>
        <v>84816</v>
      </c>
      <c r="B3531" s="1" t="s">
        <v>8264</v>
      </c>
      <c r="C3531" t="s">
        <v>8265</v>
      </c>
      <c r="D3531">
        <v>94.1</v>
      </c>
      <c r="E3531">
        <v>96.9</v>
      </c>
      <c r="F3531">
        <v>99.9</v>
      </c>
      <c r="G3531">
        <v>98.7</v>
      </c>
      <c r="H3531">
        <v>132.19999999999999</v>
      </c>
      <c r="I3531">
        <v>136.30000000000001</v>
      </c>
      <c r="J3531">
        <v>100</v>
      </c>
      <c r="K3531">
        <v>100</v>
      </c>
      <c r="L3531" s="1" t="s">
        <v>8264</v>
      </c>
      <c r="M3531" t="s">
        <v>8266</v>
      </c>
      <c r="N3531">
        <v>5</v>
      </c>
    </row>
    <row r="3532" spans="1:14" x14ac:dyDescent="0.25">
      <c r="A3532" s="3" t="str">
        <f>HYPERLINK("http://www.ncbi.nlm.nih.gov/gene/25914","25914")</f>
        <v>25914</v>
      </c>
      <c r="B3532" s="1" t="s">
        <v>8267</v>
      </c>
      <c r="C3532" t="s">
        <v>8268</v>
      </c>
      <c r="D3532">
        <v>133.80000000000001</v>
      </c>
      <c r="E3532">
        <v>138.69999999999999</v>
      </c>
      <c r="F3532">
        <v>98.9</v>
      </c>
      <c r="G3532">
        <v>98</v>
      </c>
      <c r="H3532">
        <v>129</v>
      </c>
      <c r="I3532">
        <v>133.5</v>
      </c>
      <c r="J3532">
        <v>100</v>
      </c>
      <c r="K3532">
        <v>100</v>
      </c>
      <c r="L3532" s="1" t="s">
        <v>8267</v>
      </c>
      <c r="M3532" t="s">
        <v>228</v>
      </c>
      <c r="N3532">
        <v>3</v>
      </c>
    </row>
    <row r="3533" spans="1:14" x14ac:dyDescent="0.25">
      <c r="A3533" s="3" t="str">
        <f>HYPERLINK("http://www.ncbi.nlm.nih.gov/gene/9711","9711")</f>
        <v>9711</v>
      </c>
      <c r="B3533" s="1" t="s">
        <v>8269</v>
      </c>
      <c r="C3533" t="s">
        <v>8270</v>
      </c>
      <c r="D3533">
        <v>112.2</v>
      </c>
      <c r="E3533">
        <v>114.6</v>
      </c>
      <c r="F3533">
        <v>99.4</v>
      </c>
      <c r="G3533">
        <v>97.5</v>
      </c>
      <c r="H3533">
        <v>139</v>
      </c>
      <c r="I3533">
        <v>142.6</v>
      </c>
      <c r="J3533">
        <v>100</v>
      </c>
      <c r="K3533">
        <v>100</v>
      </c>
      <c r="L3533" s="1" t="s">
        <v>8269</v>
      </c>
      <c r="M3533" t="s">
        <v>288</v>
      </c>
      <c r="N3533">
        <v>4</v>
      </c>
    </row>
    <row r="3534" spans="1:14" x14ac:dyDescent="0.25">
      <c r="A3534" s="3" t="str">
        <f>HYPERLINK("http://www.ncbi.nlm.nih.gov/gene/861","861")</f>
        <v>861</v>
      </c>
      <c r="B3534" s="1" t="s">
        <v>8271</v>
      </c>
      <c r="C3534" t="s">
        <v>8272</v>
      </c>
      <c r="D3534">
        <v>85.9</v>
      </c>
      <c r="E3534">
        <v>85.5</v>
      </c>
      <c r="F3534">
        <v>99.3</v>
      </c>
      <c r="G3534">
        <v>94.9</v>
      </c>
      <c r="H3534">
        <v>167.7</v>
      </c>
      <c r="I3534">
        <v>170.7</v>
      </c>
      <c r="J3534">
        <v>100</v>
      </c>
      <c r="K3534">
        <v>100</v>
      </c>
      <c r="L3534" s="1" t="s">
        <v>8271</v>
      </c>
      <c r="M3534" t="s">
        <v>8273</v>
      </c>
      <c r="N3534">
        <v>4</v>
      </c>
    </row>
    <row r="3535" spans="1:14" x14ac:dyDescent="0.25">
      <c r="A3535" s="3" t="str">
        <f>HYPERLINK("http://www.ncbi.nlm.nih.gov/gene/860","860")</f>
        <v>860</v>
      </c>
      <c r="B3535" s="1" t="s">
        <v>8274</v>
      </c>
      <c r="C3535" t="s">
        <v>8275</v>
      </c>
      <c r="D3535">
        <v>111.7</v>
      </c>
      <c r="E3535">
        <v>113.5</v>
      </c>
      <c r="F3535">
        <v>72.2</v>
      </c>
      <c r="G3535">
        <v>72.2</v>
      </c>
      <c r="H3535">
        <v>148.80000000000001</v>
      </c>
      <c r="I3535">
        <v>149.9</v>
      </c>
      <c r="J3535">
        <v>100</v>
      </c>
      <c r="K3535">
        <v>100</v>
      </c>
      <c r="L3535" s="1" t="s">
        <v>8274</v>
      </c>
      <c r="M3535" t="s">
        <v>8276</v>
      </c>
      <c r="N3535">
        <v>5</v>
      </c>
    </row>
    <row r="3536" spans="1:14" x14ac:dyDescent="0.25">
      <c r="A3536" s="3" t="str">
        <f>HYPERLINK("http://www.ncbi.nlm.nih.gov/gene/864","864")</f>
        <v>864</v>
      </c>
      <c r="B3536" s="1" t="s">
        <v>8277</v>
      </c>
      <c r="C3536" t="s">
        <v>8278</v>
      </c>
      <c r="D3536">
        <v>70.400000000000006</v>
      </c>
      <c r="E3536">
        <v>74.8</v>
      </c>
      <c r="F3536">
        <v>97.2</v>
      </c>
      <c r="G3536">
        <v>93.3</v>
      </c>
      <c r="H3536">
        <v>137.19999999999999</v>
      </c>
      <c r="I3536">
        <v>141.6</v>
      </c>
      <c r="J3536">
        <v>100</v>
      </c>
      <c r="K3536">
        <v>100</v>
      </c>
      <c r="L3536" s="1" t="s">
        <v>8277</v>
      </c>
      <c r="M3536" t="s">
        <v>661</v>
      </c>
      <c r="N3536">
        <v>2</v>
      </c>
    </row>
    <row r="3537" spans="1:14" x14ac:dyDescent="0.25">
      <c r="A3537" s="3" t="str">
        <f>HYPERLINK("http://www.ncbi.nlm.nih.gov/gene/9853","9853")</f>
        <v>9853</v>
      </c>
      <c r="B3537" s="1" t="s">
        <v>8279</v>
      </c>
      <c r="C3537" t="s">
        <v>8280</v>
      </c>
      <c r="D3537">
        <v>192.9</v>
      </c>
      <c r="E3537">
        <v>181</v>
      </c>
      <c r="F3537">
        <v>100</v>
      </c>
      <c r="G3537">
        <v>100</v>
      </c>
      <c r="H3537">
        <v>157.30000000000001</v>
      </c>
      <c r="I3537">
        <v>158.80000000000001</v>
      </c>
      <c r="J3537">
        <v>100</v>
      </c>
      <c r="K3537">
        <v>100</v>
      </c>
      <c r="L3537" s="1" t="s">
        <v>8279</v>
      </c>
      <c r="M3537" t="s">
        <v>228</v>
      </c>
      <c r="N3537">
        <v>3</v>
      </c>
    </row>
    <row r="3538" spans="1:14" x14ac:dyDescent="0.25">
      <c r="A3538" s="3" t="str">
        <f>HYPERLINK("http://www.ncbi.nlm.nih.gov/gene/10329","10329")</f>
        <v>10329</v>
      </c>
      <c r="B3538" s="1" t="s">
        <v>8281</v>
      </c>
      <c r="C3538" t="s">
        <v>8282</v>
      </c>
      <c r="D3538">
        <v>163.9</v>
      </c>
      <c r="E3538">
        <v>168.9</v>
      </c>
      <c r="F3538">
        <v>99.5</v>
      </c>
      <c r="G3538">
        <v>96.8</v>
      </c>
      <c r="H3538">
        <v>132.4</v>
      </c>
      <c r="I3538">
        <v>135.6</v>
      </c>
      <c r="J3538">
        <v>100</v>
      </c>
      <c r="K3538">
        <v>99.9</v>
      </c>
      <c r="L3538" s="1" t="s">
        <v>8281</v>
      </c>
      <c r="M3538" t="s">
        <v>1019</v>
      </c>
      <c r="N3538">
        <v>5</v>
      </c>
    </row>
    <row r="3539" spans="1:14" x14ac:dyDescent="0.25">
      <c r="A3539" s="3" t="str">
        <f>HYPERLINK("http://www.ncbi.nlm.nih.gov/gene/6261","6261")</f>
        <v>6261</v>
      </c>
      <c r="B3539" s="1" t="s">
        <v>8283</v>
      </c>
      <c r="C3539" t="s">
        <v>8284</v>
      </c>
      <c r="D3539">
        <v>124.6</v>
      </c>
      <c r="E3539">
        <v>126.2</v>
      </c>
      <c r="F3539">
        <v>96.9</v>
      </c>
      <c r="G3539">
        <v>93.9</v>
      </c>
      <c r="H3539">
        <v>135.6</v>
      </c>
      <c r="I3539">
        <v>137.80000000000001</v>
      </c>
      <c r="J3539">
        <v>99.4</v>
      </c>
      <c r="K3539">
        <v>99</v>
      </c>
      <c r="L3539" s="1" t="s">
        <v>8283</v>
      </c>
      <c r="M3539" t="s">
        <v>8285</v>
      </c>
      <c r="N3539">
        <v>5</v>
      </c>
    </row>
    <row r="3540" spans="1:14" x14ac:dyDescent="0.25">
      <c r="A3540" s="3" t="str">
        <f>HYPERLINK("http://www.ncbi.nlm.nih.gov/gene/6262","6262")</f>
        <v>6262</v>
      </c>
      <c r="B3540" s="1" t="s">
        <v>8286</v>
      </c>
      <c r="C3540" t="s">
        <v>8287</v>
      </c>
      <c r="D3540">
        <v>145.4</v>
      </c>
      <c r="E3540">
        <v>151.1</v>
      </c>
      <c r="F3540">
        <v>99.9</v>
      </c>
      <c r="G3540">
        <v>99</v>
      </c>
      <c r="H3540">
        <v>134.1</v>
      </c>
      <c r="I3540">
        <v>137.69999999999999</v>
      </c>
      <c r="J3540">
        <v>100</v>
      </c>
      <c r="K3540">
        <v>100</v>
      </c>
      <c r="L3540" s="1" t="s">
        <v>8286</v>
      </c>
      <c r="M3540" t="s">
        <v>197</v>
      </c>
      <c r="N3540">
        <v>2</v>
      </c>
    </row>
    <row r="3541" spans="1:14" x14ac:dyDescent="0.25">
      <c r="A3541" s="3" t="str">
        <f>HYPERLINK("http://www.ncbi.nlm.nih.gov/gene/9294","9294")</f>
        <v>9294</v>
      </c>
      <c r="B3541" s="1" t="s">
        <v>8288</v>
      </c>
      <c r="C3541" t="s">
        <v>8289</v>
      </c>
      <c r="D3541">
        <v>186.5</v>
      </c>
      <c r="E3541">
        <v>169.3</v>
      </c>
      <c r="F3541">
        <v>99.4</v>
      </c>
      <c r="G3541">
        <v>96.9</v>
      </c>
      <c r="H3541">
        <v>143.5</v>
      </c>
      <c r="I3541">
        <v>143.80000000000001</v>
      </c>
      <c r="J3541">
        <v>100</v>
      </c>
      <c r="K3541">
        <v>100</v>
      </c>
      <c r="L3541" s="1" t="s">
        <v>8288</v>
      </c>
      <c r="M3541" t="s">
        <v>269</v>
      </c>
      <c r="N3541">
        <v>3</v>
      </c>
    </row>
    <row r="3542" spans="1:14" x14ac:dyDescent="0.25">
      <c r="A3542" s="3" t="str">
        <f>HYPERLINK("http://www.ncbi.nlm.nih.gov/gene/6289","6289")</f>
        <v>6289</v>
      </c>
      <c r="B3542" s="1" t="s">
        <v>8290</v>
      </c>
      <c r="C3542" t="s">
        <v>8291</v>
      </c>
      <c r="D3542">
        <v>143.9</v>
      </c>
      <c r="E3542">
        <v>146.69999999999999</v>
      </c>
      <c r="F3542">
        <v>98.2</v>
      </c>
      <c r="G3542">
        <v>88.2</v>
      </c>
      <c r="H3542">
        <v>150.9</v>
      </c>
      <c r="I3542">
        <v>155.80000000000001</v>
      </c>
      <c r="J3542">
        <v>78.3</v>
      </c>
      <c r="K3542">
        <v>78.3</v>
      </c>
      <c r="L3542" s="1" t="s">
        <v>8290</v>
      </c>
      <c r="M3542" t="s">
        <v>661</v>
      </c>
      <c r="N3542">
        <v>2</v>
      </c>
    </row>
    <row r="3543" spans="1:14" x14ac:dyDescent="0.25">
      <c r="A3543" s="3" t="str">
        <f>HYPERLINK("http://www.ncbi.nlm.nih.gov/gene/26278","26278")</f>
        <v>26278</v>
      </c>
      <c r="B3543" s="1" t="s">
        <v>8292</v>
      </c>
      <c r="C3543" t="s">
        <v>8293</v>
      </c>
      <c r="D3543">
        <v>186.2</v>
      </c>
      <c r="E3543">
        <v>174.6</v>
      </c>
      <c r="F3543">
        <v>100</v>
      </c>
      <c r="G3543">
        <v>99.9</v>
      </c>
      <c r="H3543">
        <v>148.6</v>
      </c>
      <c r="I3543">
        <v>145.9</v>
      </c>
      <c r="J3543">
        <v>100</v>
      </c>
      <c r="K3543">
        <v>100</v>
      </c>
      <c r="L3543" s="1" t="s">
        <v>8292</v>
      </c>
      <c r="M3543" t="s">
        <v>2815</v>
      </c>
      <c r="N3543">
        <v>5</v>
      </c>
    </row>
    <row r="3544" spans="1:14" x14ac:dyDescent="0.25">
      <c r="A3544" s="3" t="str">
        <f>HYPERLINK("http://www.ncbi.nlm.nih.gov/gene/6295","6295")</f>
        <v>6295</v>
      </c>
      <c r="B3544" s="1" t="s">
        <v>8294</v>
      </c>
      <c r="C3544" t="s">
        <v>8295</v>
      </c>
      <c r="D3544">
        <v>145.9</v>
      </c>
      <c r="E3544">
        <v>150.1</v>
      </c>
      <c r="F3544">
        <v>100</v>
      </c>
      <c r="G3544">
        <v>100</v>
      </c>
      <c r="H3544">
        <v>144.6</v>
      </c>
      <c r="I3544">
        <v>147.30000000000001</v>
      </c>
      <c r="J3544">
        <v>100</v>
      </c>
      <c r="K3544">
        <v>100</v>
      </c>
      <c r="L3544" s="1" t="s">
        <v>8294</v>
      </c>
      <c r="M3544" t="s">
        <v>56</v>
      </c>
      <c r="N3544">
        <v>3</v>
      </c>
    </row>
    <row r="3545" spans="1:14" x14ac:dyDescent="0.25">
      <c r="A3545" s="3" t="str">
        <f>HYPERLINK("http://www.ncbi.nlm.nih.gov/gene/6299","6299")</f>
        <v>6299</v>
      </c>
      <c r="B3545" s="1" t="s">
        <v>8296</v>
      </c>
      <c r="C3545" t="s">
        <v>8297</v>
      </c>
      <c r="D3545">
        <v>146.80000000000001</v>
      </c>
      <c r="E3545">
        <v>133.4</v>
      </c>
      <c r="F3545">
        <v>99.9</v>
      </c>
      <c r="G3545">
        <v>99</v>
      </c>
      <c r="H3545">
        <v>166.3</v>
      </c>
      <c r="I3545">
        <v>167</v>
      </c>
      <c r="J3545">
        <v>100</v>
      </c>
      <c r="K3545">
        <v>100</v>
      </c>
      <c r="L3545" s="1" t="s">
        <v>8296</v>
      </c>
      <c r="M3545" t="s">
        <v>8298</v>
      </c>
      <c r="N3545">
        <v>5</v>
      </c>
    </row>
    <row r="3546" spans="1:14" x14ac:dyDescent="0.25">
      <c r="A3546" s="3" t="str">
        <f>HYPERLINK("http://www.ncbi.nlm.nih.gov/gene/6297","6297")</f>
        <v>6297</v>
      </c>
      <c r="B3546" s="1" t="s">
        <v>8299</v>
      </c>
      <c r="C3546" t="s">
        <v>8300</v>
      </c>
      <c r="D3546">
        <v>143.5</v>
      </c>
      <c r="E3546">
        <v>135.6</v>
      </c>
      <c r="F3546">
        <v>100</v>
      </c>
      <c r="G3546">
        <v>100</v>
      </c>
      <c r="H3546">
        <v>167.9</v>
      </c>
      <c r="I3546">
        <v>167</v>
      </c>
      <c r="J3546">
        <v>100</v>
      </c>
      <c r="K3546">
        <v>100</v>
      </c>
      <c r="L3546" s="1" t="s">
        <v>8299</v>
      </c>
      <c r="M3546" t="s">
        <v>53</v>
      </c>
      <c r="N3546">
        <v>2</v>
      </c>
    </row>
    <row r="3547" spans="1:14" x14ac:dyDescent="0.25">
      <c r="A3547" s="3" t="str">
        <f>HYPERLINK("http://www.ncbi.nlm.nih.gov/gene/57167","57167")</f>
        <v>57167</v>
      </c>
      <c r="B3547" s="1" t="s">
        <v>8301</v>
      </c>
      <c r="C3547" t="s">
        <v>8302</v>
      </c>
      <c r="D3547">
        <v>149.4</v>
      </c>
      <c r="E3547">
        <v>136.9</v>
      </c>
      <c r="F3547">
        <v>98.6</v>
      </c>
      <c r="G3547">
        <v>96.7</v>
      </c>
      <c r="H3547">
        <v>158.5</v>
      </c>
      <c r="I3547">
        <v>159.6</v>
      </c>
      <c r="J3547">
        <v>100</v>
      </c>
      <c r="K3547">
        <v>100</v>
      </c>
      <c r="L3547" s="1" t="s">
        <v>8301</v>
      </c>
      <c r="M3547" t="s">
        <v>8303</v>
      </c>
      <c r="N3547">
        <v>5</v>
      </c>
    </row>
    <row r="3548" spans="1:14" x14ac:dyDescent="0.25">
      <c r="A3548" s="3" t="str">
        <f>HYPERLINK("http://www.ncbi.nlm.nih.gov/gene/148398","148398")</f>
        <v>148398</v>
      </c>
      <c r="B3548" s="1" t="s">
        <v>8304</v>
      </c>
      <c r="C3548" t="s">
        <v>8305</v>
      </c>
      <c r="D3548">
        <v>89.9</v>
      </c>
      <c r="E3548">
        <v>94.9</v>
      </c>
      <c r="F3548">
        <v>90.2</v>
      </c>
      <c r="G3548">
        <v>81.599999999999994</v>
      </c>
      <c r="H3548">
        <v>136.30000000000001</v>
      </c>
      <c r="I3548">
        <v>136.4</v>
      </c>
      <c r="J3548">
        <v>100</v>
      </c>
      <c r="K3548">
        <v>100</v>
      </c>
      <c r="L3548" s="1" t="s">
        <v>8304</v>
      </c>
      <c r="M3548" t="s">
        <v>817</v>
      </c>
      <c r="N3548">
        <v>2</v>
      </c>
    </row>
    <row r="3549" spans="1:14" x14ac:dyDescent="0.25">
      <c r="A3549" s="3" t="str">
        <f>HYPERLINK("http://www.ncbi.nlm.nih.gov/gene/401474","401474")</f>
        <v>401474</v>
      </c>
      <c r="B3549" s="1" t="s">
        <v>8306</v>
      </c>
      <c r="D3549">
        <v>177.7</v>
      </c>
      <c r="E3549">
        <v>186.1</v>
      </c>
      <c r="F3549">
        <v>100</v>
      </c>
      <c r="G3549">
        <v>100</v>
      </c>
      <c r="H3549">
        <v>156.30000000000001</v>
      </c>
      <c r="I3549">
        <v>162</v>
      </c>
      <c r="J3549">
        <v>100</v>
      </c>
      <c r="K3549">
        <v>100</v>
      </c>
      <c r="L3549" s="1" t="s">
        <v>8306</v>
      </c>
      <c r="M3549" t="s">
        <v>285</v>
      </c>
      <c r="N3549">
        <v>1</v>
      </c>
    </row>
    <row r="3550" spans="1:14" x14ac:dyDescent="0.25">
      <c r="A3550" s="3" t="str">
        <f>HYPERLINK("http://www.ncbi.nlm.nih.gov/gene/54809","54809")</f>
        <v>54809</v>
      </c>
      <c r="B3550" s="1" t="s">
        <v>8307</v>
      </c>
      <c r="C3550" t="s">
        <v>8308</v>
      </c>
      <c r="D3550">
        <v>197.5</v>
      </c>
      <c r="E3550">
        <v>185.7</v>
      </c>
      <c r="F3550">
        <v>100</v>
      </c>
      <c r="G3550">
        <v>99.8</v>
      </c>
      <c r="H3550">
        <v>138.69999999999999</v>
      </c>
      <c r="I3550">
        <v>136.5</v>
      </c>
      <c r="J3550">
        <v>100</v>
      </c>
      <c r="K3550">
        <v>100</v>
      </c>
      <c r="L3550" s="1" t="s">
        <v>8307</v>
      </c>
      <c r="M3550" t="s">
        <v>8309</v>
      </c>
      <c r="N3550">
        <v>8</v>
      </c>
    </row>
    <row r="3551" spans="1:14" x14ac:dyDescent="0.25">
      <c r="A3551" s="3" t="str">
        <f>HYPERLINK("http://www.ncbi.nlm.nih.gov/gene/219285","219285")</f>
        <v>219285</v>
      </c>
      <c r="B3551" s="1" t="s">
        <v>8310</v>
      </c>
      <c r="C3551" t="s">
        <v>8311</v>
      </c>
      <c r="D3551">
        <v>200.7</v>
      </c>
      <c r="E3551">
        <v>192.5</v>
      </c>
      <c r="F3551">
        <v>100</v>
      </c>
      <c r="G3551">
        <v>100</v>
      </c>
      <c r="H3551">
        <v>145.9</v>
      </c>
      <c r="I3551">
        <v>143.6</v>
      </c>
      <c r="J3551">
        <v>100</v>
      </c>
      <c r="K3551">
        <v>100</v>
      </c>
      <c r="L3551" s="1" t="s">
        <v>8310</v>
      </c>
      <c r="M3551" t="s">
        <v>8312</v>
      </c>
      <c r="N3551">
        <v>6</v>
      </c>
    </row>
    <row r="3552" spans="1:14" x14ac:dyDescent="0.25">
      <c r="A3552" s="3" t="str">
        <f>HYPERLINK("http://www.ncbi.nlm.nih.gov/gene/25939","25939")</f>
        <v>25939</v>
      </c>
      <c r="B3552" s="1" t="s">
        <v>8313</v>
      </c>
      <c r="C3552" t="s">
        <v>8314</v>
      </c>
      <c r="D3552">
        <v>156.69999999999999</v>
      </c>
      <c r="E3552">
        <v>162.19999999999999</v>
      </c>
      <c r="F3552">
        <v>98.7</v>
      </c>
      <c r="G3552">
        <v>98.4</v>
      </c>
      <c r="H3552">
        <v>145.80000000000001</v>
      </c>
      <c r="I3552">
        <v>150.19999999999999</v>
      </c>
      <c r="J3552">
        <v>100</v>
      </c>
      <c r="K3552">
        <v>100</v>
      </c>
      <c r="L3552" s="1" t="s">
        <v>8313</v>
      </c>
      <c r="M3552" t="s">
        <v>8315</v>
      </c>
      <c r="N3552">
        <v>8</v>
      </c>
    </row>
    <row r="3553" spans="1:14" x14ac:dyDescent="0.25">
      <c r="A3553" s="3" t="str">
        <f>HYPERLINK("http://www.ncbi.nlm.nih.gov/gene/51128","51128")</f>
        <v>51128</v>
      </c>
      <c r="B3553" s="1" t="s">
        <v>8316</v>
      </c>
      <c r="C3553" t="s">
        <v>8317</v>
      </c>
      <c r="D3553">
        <v>152.6</v>
      </c>
      <c r="E3553">
        <v>158.30000000000001</v>
      </c>
      <c r="F3553">
        <v>97</v>
      </c>
      <c r="G3553">
        <v>89.7</v>
      </c>
      <c r="H3553">
        <v>127.8</v>
      </c>
      <c r="I3553">
        <v>130.69999999999999</v>
      </c>
      <c r="J3553">
        <v>100</v>
      </c>
      <c r="K3553">
        <v>100</v>
      </c>
      <c r="L3553" s="1" t="s">
        <v>8316</v>
      </c>
      <c r="M3553" t="s">
        <v>53</v>
      </c>
      <c r="N3553">
        <v>2</v>
      </c>
    </row>
    <row r="3554" spans="1:14" x14ac:dyDescent="0.25">
      <c r="A3554" s="3" t="str">
        <f>HYPERLINK("http://www.ncbi.nlm.nih.gov/gene/1757","1757")</f>
        <v>1757</v>
      </c>
      <c r="B3554" s="1" t="s">
        <v>8318</v>
      </c>
      <c r="C3554" t="s">
        <v>8319</v>
      </c>
      <c r="D3554">
        <v>117.2</v>
      </c>
      <c r="E3554">
        <v>121.7</v>
      </c>
      <c r="F3554">
        <v>93.7</v>
      </c>
      <c r="G3554">
        <v>91.7</v>
      </c>
      <c r="H3554">
        <v>133.1</v>
      </c>
      <c r="I3554">
        <v>136.9</v>
      </c>
      <c r="J3554">
        <v>91.4</v>
      </c>
      <c r="K3554">
        <v>91.4</v>
      </c>
      <c r="L3554" s="1" t="s">
        <v>8318</v>
      </c>
      <c r="M3554" t="s">
        <v>93</v>
      </c>
      <c r="N3554">
        <v>2</v>
      </c>
    </row>
    <row r="3555" spans="1:14" x14ac:dyDescent="0.25">
      <c r="A3555" s="3" t="str">
        <f>HYPERLINK("http://www.ncbi.nlm.nih.gov/gene/6301","6301")</f>
        <v>6301</v>
      </c>
      <c r="B3555" s="1" t="s">
        <v>8320</v>
      </c>
      <c r="C3555" t="s">
        <v>8321</v>
      </c>
      <c r="D3555">
        <v>127.1</v>
      </c>
      <c r="E3555">
        <v>131.6</v>
      </c>
      <c r="F3555">
        <v>100</v>
      </c>
      <c r="G3555">
        <v>99.3</v>
      </c>
      <c r="H3555">
        <v>132.9</v>
      </c>
      <c r="I3555">
        <v>137</v>
      </c>
      <c r="J3555">
        <v>100</v>
      </c>
      <c r="K3555">
        <v>100</v>
      </c>
      <c r="L3555" s="1" t="s">
        <v>8320</v>
      </c>
      <c r="M3555" t="s">
        <v>228</v>
      </c>
      <c r="N3555">
        <v>3</v>
      </c>
    </row>
    <row r="3556" spans="1:14" x14ac:dyDescent="0.25">
      <c r="A3556" s="3" t="str">
        <f>HYPERLINK("http://www.ncbi.nlm.nih.gov/gene/54938","54938")</f>
        <v>54938</v>
      </c>
      <c r="B3556" s="1" t="s">
        <v>8322</v>
      </c>
      <c r="C3556" t="s">
        <v>8323</v>
      </c>
      <c r="D3556">
        <v>116</v>
      </c>
      <c r="E3556">
        <v>118.3</v>
      </c>
      <c r="F3556">
        <v>95.8</v>
      </c>
      <c r="G3556">
        <v>94.6</v>
      </c>
      <c r="H3556">
        <v>123.4</v>
      </c>
      <c r="I3556">
        <v>126</v>
      </c>
      <c r="J3556">
        <v>100</v>
      </c>
      <c r="K3556">
        <v>100</v>
      </c>
      <c r="L3556" s="1" t="s">
        <v>8322</v>
      </c>
      <c r="M3556" t="s">
        <v>8324</v>
      </c>
      <c r="N3556">
        <v>4</v>
      </c>
    </row>
    <row r="3557" spans="1:14" x14ac:dyDescent="0.25">
      <c r="A3557" s="3" t="str">
        <f>HYPERLINK("http://www.ncbi.nlm.nih.gov/gene/9733","9733")</f>
        <v>9733</v>
      </c>
      <c r="B3557" s="1" t="s">
        <v>8325</v>
      </c>
      <c r="C3557" t="s">
        <v>8326</v>
      </c>
      <c r="D3557">
        <v>127.6</v>
      </c>
      <c r="E3557">
        <v>130.4</v>
      </c>
      <c r="F3557">
        <v>99.6</v>
      </c>
      <c r="G3557">
        <v>98.6</v>
      </c>
      <c r="H3557">
        <v>146.30000000000001</v>
      </c>
      <c r="I3557">
        <v>150.1</v>
      </c>
      <c r="J3557">
        <v>100</v>
      </c>
      <c r="K3557">
        <v>100</v>
      </c>
      <c r="L3557" s="1" t="s">
        <v>8325</v>
      </c>
      <c r="M3557" t="s">
        <v>29</v>
      </c>
      <c r="N3557">
        <v>2</v>
      </c>
    </row>
    <row r="3558" spans="1:14" x14ac:dyDescent="0.25">
      <c r="A3558" s="3" t="str">
        <f>HYPERLINK("http://www.ncbi.nlm.nih.gov/gene/23328","23328")</f>
        <v>23328</v>
      </c>
      <c r="B3558" s="1" t="s">
        <v>8327</v>
      </c>
      <c r="C3558" t="s">
        <v>8328</v>
      </c>
      <c r="D3558">
        <v>176.5</v>
      </c>
      <c r="E3558">
        <v>182.1</v>
      </c>
      <c r="F3558">
        <v>99.9</v>
      </c>
      <c r="G3558">
        <v>98.7</v>
      </c>
      <c r="H3558">
        <v>142.19999999999999</v>
      </c>
      <c r="I3558">
        <v>146.80000000000001</v>
      </c>
      <c r="J3558">
        <v>100</v>
      </c>
      <c r="K3558">
        <v>100</v>
      </c>
      <c r="L3558" s="1" t="s">
        <v>8327</v>
      </c>
      <c r="M3558" t="s">
        <v>4146</v>
      </c>
      <c r="N3558">
        <v>3</v>
      </c>
    </row>
    <row r="3559" spans="1:14" x14ac:dyDescent="0.25">
      <c r="A3559" s="3" t="str">
        <f>HYPERLINK("http://www.ncbi.nlm.nih.gov/gene/54440","54440")</f>
        <v>54440</v>
      </c>
      <c r="B3559" s="1" t="s">
        <v>8329</v>
      </c>
      <c r="C3559" t="s">
        <v>8330</v>
      </c>
      <c r="D3559">
        <v>99.6</v>
      </c>
      <c r="E3559">
        <v>103</v>
      </c>
      <c r="F3559">
        <v>99.9</v>
      </c>
      <c r="G3559">
        <v>97.6</v>
      </c>
      <c r="H3559">
        <v>141.69999999999999</v>
      </c>
      <c r="I3559">
        <v>145.5</v>
      </c>
      <c r="J3559">
        <v>100</v>
      </c>
      <c r="K3559">
        <v>100</v>
      </c>
      <c r="L3559" s="1" t="s">
        <v>8329</v>
      </c>
      <c r="M3559" t="s">
        <v>3111</v>
      </c>
      <c r="N3559">
        <v>2</v>
      </c>
    </row>
    <row r="3560" spans="1:14" x14ac:dyDescent="0.25">
      <c r="A3560" s="3" t="str">
        <f>HYPERLINK("http://www.ncbi.nlm.nih.gov/gene/163786","163786")</f>
        <v>163786</v>
      </c>
      <c r="B3560" s="1" t="s">
        <v>8331</v>
      </c>
      <c r="C3560" t="s">
        <v>8332</v>
      </c>
      <c r="D3560">
        <v>88.2</v>
      </c>
      <c r="E3560">
        <v>91</v>
      </c>
      <c r="F3560">
        <v>99.9</v>
      </c>
      <c r="G3560">
        <v>98.5</v>
      </c>
      <c r="H3560">
        <v>112.8</v>
      </c>
      <c r="I3560">
        <v>115.6</v>
      </c>
      <c r="J3560">
        <v>100</v>
      </c>
      <c r="K3560">
        <v>100</v>
      </c>
      <c r="L3560" s="1" t="s">
        <v>8331</v>
      </c>
      <c r="M3560" t="s">
        <v>53</v>
      </c>
      <c r="N3560">
        <v>2</v>
      </c>
    </row>
    <row r="3561" spans="1:14" x14ac:dyDescent="0.25">
      <c r="A3561" s="3" t="str">
        <f>HYPERLINK("http://www.ncbi.nlm.nih.gov/gene/6303","6303")</f>
        <v>6303</v>
      </c>
      <c r="B3561" s="1" t="s">
        <v>8333</v>
      </c>
      <c r="C3561" t="s">
        <v>8334</v>
      </c>
      <c r="D3561">
        <v>135.19999999999999</v>
      </c>
      <c r="E3561">
        <v>138.69999999999999</v>
      </c>
      <c r="F3561">
        <v>99.9</v>
      </c>
      <c r="G3561">
        <v>98.5</v>
      </c>
      <c r="H3561">
        <v>126.5</v>
      </c>
      <c r="I3561">
        <v>130.30000000000001</v>
      </c>
      <c r="J3561">
        <v>100</v>
      </c>
      <c r="K3561">
        <v>99.9</v>
      </c>
      <c r="L3561" s="1" t="s">
        <v>8333</v>
      </c>
      <c r="M3561" t="s">
        <v>8335</v>
      </c>
      <c r="N3561">
        <v>3</v>
      </c>
    </row>
    <row r="3562" spans="1:14" x14ac:dyDescent="0.25">
      <c r="A3562" s="3" t="str">
        <f>HYPERLINK("http://www.ncbi.nlm.nih.gov/gene/23314","23314")</f>
        <v>23314</v>
      </c>
      <c r="B3562" s="1" t="s">
        <v>8336</v>
      </c>
      <c r="C3562" t="s">
        <v>8337</v>
      </c>
      <c r="D3562">
        <v>123.3</v>
      </c>
      <c r="E3562">
        <v>126.5</v>
      </c>
      <c r="F3562">
        <v>99.7</v>
      </c>
      <c r="G3562">
        <v>97.4</v>
      </c>
      <c r="H3562">
        <v>155.1</v>
      </c>
      <c r="I3562">
        <v>158</v>
      </c>
      <c r="J3562">
        <v>100</v>
      </c>
      <c r="K3562">
        <v>100</v>
      </c>
      <c r="L3562" s="1" t="s">
        <v>8336</v>
      </c>
      <c r="M3562" t="s">
        <v>8338</v>
      </c>
      <c r="N3562">
        <v>5</v>
      </c>
    </row>
    <row r="3563" spans="1:14" x14ac:dyDescent="0.25">
      <c r="A3563" s="3" t="str">
        <f>HYPERLINK("http://www.ncbi.nlm.nih.gov/gene/51119","51119")</f>
        <v>51119</v>
      </c>
      <c r="B3563" s="1" t="s">
        <v>8339</v>
      </c>
      <c r="C3563" t="s">
        <v>8340</v>
      </c>
      <c r="D3563">
        <v>192.8</v>
      </c>
      <c r="E3563">
        <v>197.8</v>
      </c>
      <c r="F3563">
        <v>100</v>
      </c>
      <c r="G3563">
        <v>100</v>
      </c>
      <c r="H3563">
        <v>139</v>
      </c>
      <c r="I3563">
        <v>144.4</v>
      </c>
      <c r="J3563">
        <v>100</v>
      </c>
      <c r="K3563">
        <v>100</v>
      </c>
      <c r="L3563" s="1" t="s">
        <v>8339</v>
      </c>
      <c r="M3563" t="s">
        <v>8341</v>
      </c>
      <c r="N3563">
        <v>7</v>
      </c>
    </row>
    <row r="3564" spans="1:14" x14ac:dyDescent="0.25">
      <c r="A3564" s="3" t="str">
        <f>HYPERLINK("http://www.ncbi.nlm.nih.gov/gene/6305","6305")</f>
        <v>6305</v>
      </c>
      <c r="B3564" s="1" t="s">
        <v>8342</v>
      </c>
      <c r="C3564" t="s">
        <v>8343</v>
      </c>
      <c r="D3564">
        <v>130.30000000000001</v>
      </c>
      <c r="E3564">
        <v>130</v>
      </c>
      <c r="F3564">
        <v>99</v>
      </c>
      <c r="G3564">
        <v>97.7</v>
      </c>
      <c r="H3564">
        <v>143.69999999999999</v>
      </c>
      <c r="I3564">
        <v>147.4</v>
      </c>
      <c r="J3564">
        <v>100</v>
      </c>
      <c r="K3564">
        <v>100</v>
      </c>
      <c r="L3564" s="1" t="s">
        <v>8342</v>
      </c>
      <c r="M3564" t="s">
        <v>44</v>
      </c>
      <c r="N3564">
        <v>3</v>
      </c>
    </row>
    <row r="3565" spans="1:14" x14ac:dyDescent="0.25">
      <c r="A3565" s="3" t="str">
        <f>HYPERLINK("http://www.ncbi.nlm.nih.gov/gene/81846","81846")</f>
        <v>81846</v>
      </c>
      <c r="B3565" s="1" t="s">
        <v>8344</v>
      </c>
      <c r="C3565" t="s">
        <v>8345</v>
      </c>
      <c r="D3565">
        <v>126.4</v>
      </c>
      <c r="E3565">
        <v>130.5</v>
      </c>
      <c r="F3565">
        <v>99.9</v>
      </c>
      <c r="G3565">
        <v>99.4</v>
      </c>
      <c r="H3565">
        <v>138.30000000000001</v>
      </c>
      <c r="I3565">
        <v>142.30000000000001</v>
      </c>
      <c r="J3565">
        <v>100</v>
      </c>
      <c r="K3565">
        <v>100</v>
      </c>
      <c r="L3565" s="1" t="s">
        <v>8344</v>
      </c>
      <c r="M3565" t="s">
        <v>44</v>
      </c>
      <c r="N3565">
        <v>3</v>
      </c>
    </row>
    <row r="3566" spans="1:14" x14ac:dyDescent="0.25">
      <c r="A3566" s="3" t="str">
        <f>HYPERLINK("http://www.ncbi.nlm.nih.gov/gene/6309","6309")</f>
        <v>6309</v>
      </c>
      <c r="B3566" s="1" t="s">
        <v>8346</v>
      </c>
      <c r="C3566" t="s">
        <v>8347</v>
      </c>
      <c r="D3566">
        <v>191.7</v>
      </c>
      <c r="E3566">
        <v>192.4</v>
      </c>
      <c r="F3566">
        <v>100</v>
      </c>
      <c r="G3566">
        <v>99.5</v>
      </c>
      <c r="H3566">
        <v>137.1</v>
      </c>
      <c r="I3566">
        <v>138</v>
      </c>
      <c r="J3566">
        <v>100</v>
      </c>
      <c r="K3566">
        <v>100</v>
      </c>
      <c r="L3566" s="1" t="s">
        <v>8346</v>
      </c>
      <c r="M3566" t="s">
        <v>3808</v>
      </c>
      <c r="N3566">
        <v>6</v>
      </c>
    </row>
    <row r="3567" spans="1:14" x14ac:dyDescent="0.25">
      <c r="A3567" s="3" t="str">
        <f>HYPERLINK("http://www.ncbi.nlm.nih.gov/gene/192683","192683")</f>
        <v>192683</v>
      </c>
      <c r="B3567" s="1" t="s">
        <v>8348</v>
      </c>
      <c r="D3567">
        <v>121.8</v>
      </c>
      <c r="E3567">
        <v>128</v>
      </c>
      <c r="F3567">
        <v>100</v>
      </c>
      <c r="G3567">
        <v>100</v>
      </c>
      <c r="H3567">
        <v>158.80000000000001</v>
      </c>
      <c r="I3567">
        <v>164.4</v>
      </c>
      <c r="J3567">
        <v>100</v>
      </c>
      <c r="K3567">
        <v>100</v>
      </c>
      <c r="L3567" s="1" t="s">
        <v>8348</v>
      </c>
      <c r="M3567" t="s">
        <v>189</v>
      </c>
      <c r="N3567">
        <v>2</v>
      </c>
    </row>
    <row r="3568" spans="1:14" x14ac:dyDescent="0.25">
      <c r="A3568" s="3" t="str">
        <f>HYPERLINK("http://www.ncbi.nlm.nih.gov/gene/49855","49855")</f>
        <v>49855</v>
      </c>
      <c r="B3568" s="1" t="s">
        <v>8349</v>
      </c>
      <c r="C3568" t="s">
        <v>8350</v>
      </c>
      <c r="D3568">
        <v>170.1</v>
      </c>
      <c r="E3568">
        <v>177.8</v>
      </c>
      <c r="F3568">
        <v>99.7</v>
      </c>
      <c r="G3568">
        <v>98.2</v>
      </c>
      <c r="H3568">
        <v>133.4</v>
      </c>
      <c r="I3568">
        <v>137.6</v>
      </c>
      <c r="J3568">
        <v>100</v>
      </c>
      <c r="K3568">
        <v>100</v>
      </c>
      <c r="L3568" s="1" t="s">
        <v>8349</v>
      </c>
      <c r="M3568" t="s">
        <v>1642</v>
      </c>
      <c r="N3568">
        <v>4</v>
      </c>
    </row>
    <row r="3569" spans="1:14" x14ac:dyDescent="0.25">
      <c r="A3569" s="3" t="str">
        <f>HYPERLINK("http://www.ncbi.nlm.nih.gov/gene/950","950")</f>
        <v>950</v>
      </c>
      <c r="B3569" s="1" t="s">
        <v>8351</v>
      </c>
      <c r="C3569" t="s">
        <v>8352</v>
      </c>
      <c r="D3569">
        <v>116.8</v>
      </c>
      <c r="E3569">
        <v>121.3</v>
      </c>
      <c r="F3569">
        <v>100</v>
      </c>
      <c r="G3569">
        <v>99.8</v>
      </c>
      <c r="H3569">
        <v>132.19999999999999</v>
      </c>
      <c r="I3569">
        <v>135.80000000000001</v>
      </c>
      <c r="J3569">
        <v>100</v>
      </c>
      <c r="K3569">
        <v>100</v>
      </c>
      <c r="L3569" s="1" t="s">
        <v>8351</v>
      </c>
      <c r="M3569" t="s">
        <v>8353</v>
      </c>
      <c r="N3569">
        <v>6</v>
      </c>
    </row>
    <row r="3570" spans="1:14" x14ac:dyDescent="0.25">
      <c r="A3570" s="3" t="str">
        <f>HYPERLINK("http://www.ncbi.nlm.nih.gov/gene/91179","91179")</f>
        <v>91179</v>
      </c>
      <c r="B3570" s="1" t="s">
        <v>8354</v>
      </c>
      <c r="C3570" t="s">
        <v>8355</v>
      </c>
      <c r="D3570">
        <v>76.3</v>
      </c>
      <c r="E3570">
        <v>74.5</v>
      </c>
      <c r="F3570">
        <v>95.4</v>
      </c>
      <c r="G3570">
        <v>86.2</v>
      </c>
      <c r="H3570">
        <v>133.19999999999999</v>
      </c>
      <c r="I3570">
        <v>135.9</v>
      </c>
      <c r="J3570">
        <v>99.8</v>
      </c>
      <c r="K3570">
        <v>99.2</v>
      </c>
      <c r="L3570" s="1" t="s">
        <v>8354</v>
      </c>
      <c r="M3570" t="s">
        <v>8356</v>
      </c>
      <c r="N3570">
        <v>6</v>
      </c>
    </row>
    <row r="3571" spans="1:14" x14ac:dyDescent="0.25">
      <c r="A3571" s="3" t="str">
        <f>HYPERLINK("http://www.ncbi.nlm.nih.gov/gene/79966","79966")</f>
        <v>79966</v>
      </c>
      <c r="B3571" s="1" t="s">
        <v>8357</v>
      </c>
      <c r="C3571" t="s">
        <v>8358</v>
      </c>
      <c r="D3571">
        <v>129.1</v>
      </c>
      <c r="E3571">
        <v>138.6</v>
      </c>
      <c r="F3571">
        <v>100</v>
      </c>
      <c r="G3571">
        <v>99.8</v>
      </c>
      <c r="H3571">
        <v>142.5</v>
      </c>
      <c r="I3571">
        <v>147.1</v>
      </c>
      <c r="J3571">
        <v>100</v>
      </c>
      <c r="K3571">
        <v>100</v>
      </c>
      <c r="L3571" s="1" t="s">
        <v>8357</v>
      </c>
      <c r="M3571" t="s">
        <v>76</v>
      </c>
      <c r="N3571">
        <v>2</v>
      </c>
    </row>
    <row r="3572" spans="1:14" x14ac:dyDescent="0.25">
      <c r="A3572" s="3" t="str">
        <f>HYPERLINK("http://www.ncbi.nlm.nih.gov/gene/388325","388325")</f>
        <v>388325</v>
      </c>
      <c r="B3572" s="1" t="s">
        <v>8359</v>
      </c>
      <c r="C3572" t="s">
        <v>8360</v>
      </c>
      <c r="D3572">
        <v>109.5</v>
      </c>
      <c r="E3572">
        <v>113.1</v>
      </c>
      <c r="F3572">
        <v>81</v>
      </c>
      <c r="G3572">
        <v>79.900000000000006</v>
      </c>
      <c r="H3572">
        <v>109.9</v>
      </c>
      <c r="I3572">
        <v>111.8</v>
      </c>
      <c r="J3572">
        <v>97.6</v>
      </c>
      <c r="K3572">
        <v>90.2</v>
      </c>
      <c r="L3572" s="1" t="s">
        <v>8359</v>
      </c>
      <c r="M3572" t="s">
        <v>3484</v>
      </c>
      <c r="N3572">
        <v>3</v>
      </c>
    </row>
    <row r="3573" spans="1:14" x14ac:dyDescent="0.25">
      <c r="A3573" s="3" t="str">
        <f>HYPERLINK("http://www.ncbi.nlm.nih.gov/gene/132320","132320")</f>
        <v>132320</v>
      </c>
      <c r="B3573" s="1" t="s">
        <v>8361</v>
      </c>
      <c r="C3573" t="s">
        <v>8362</v>
      </c>
      <c r="D3573">
        <v>105.5</v>
      </c>
      <c r="E3573">
        <v>108.5</v>
      </c>
      <c r="F3573">
        <v>96</v>
      </c>
      <c r="G3573">
        <v>90.9</v>
      </c>
      <c r="H3573">
        <v>121.7</v>
      </c>
      <c r="I3573">
        <v>125.3</v>
      </c>
      <c r="J3573">
        <v>95.1</v>
      </c>
      <c r="K3573">
        <v>95.1</v>
      </c>
      <c r="L3573" s="1" t="s">
        <v>8361</v>
      </c>
      <c r="M3573" t="s">
        <v>1495</v>
      </c>
      <c r="N3573">
        <v>2</v>
      </c>
    </row>
    <row r="3574" spans="1:14" x14ac:dyDescent="0.25">
      <c r="A3574" s="3" t="str">
        <f>HYPERLINK("http://www.ncbi.nlm.nih.gov/gene/6336","6336")</f>
        <v>6336</v>
      </c>
      <c r="B3574" s="1" t="s">
        <v>8363</v>
      </c>
      <c r="C3574" t="s">
        <v>8364</v>
      </c>
      <c r="D3574">
        <v>143.80000000000001</v>
      </c>
      <c r="E3574">
        <v>148.69999999999999</v>
      </c>
      <c r="F3574">
        <v>100</v>
      </c>
      <c r="G3574">
        <v>99.6</v>
      </c>
      <c r="H3574">
        <v>142.19999999999999</v>
      </c>
      <c r="I3574">
        <v>145.9</v>
      </c>
      <c r="J3574">
        <v>100</v>
      </c>
      <c r="K3574">
        <v>100</v>
      </c>
      <c r="L3574" s="1" t="s">
        <v>8363</v>
      </c>
      <c r="M3574" t="s">
        <v>8365</v>
      </c>
      <c r="N3574">
        <v>5</v>
      </c>
    </row>
    <row r="3575" spans="1:14" x14ac:dyDescent="0.25">
      <c r="A3575" s="3" t="str">
        <f>HYPERLINK("http://www.ncbi.nlm.nih.gov/gene/11280","11280")</f>
        <v>11280</v>
      </c>
      <c r="B3575" s="1" t="s">
        <v>8366</v>
      </c>
      <c r="C3575" t="s">
        <v>8367</v>
      </c>
      <c r="D3575">
        <v>143.1</v>
      </c>
      <c r="E3575">
        <v>144.6</v>
      </c>
      <c r="F3575">
        <v>99.8</v>
      </c>
      <c r="G3575">
        <v>98.3</v>
      </c>
      <c r="H3575">
        <v>135.6</v>
      </c>
      <c r="I3575">
        <v>139.1</v>
      </c>
      <c r="J3575">
        <v>100</v>
      </c>
      <c r="K3575">
        <v>100</v>
      </c>
      <c r="L3575" s="1" t="s">
        <v>8366</v>
      </c>
      <c r="M3575" t="s">
        <v>8368</v>
      </c>
      <c r="N3575">
        <v>5</v>
      </c>
    </row>
    <row r="3576" spans="1:14" x14ac:dyDescent="0.25">
      <c r="A3576" s="3" t="str">
        <f>HYPERLINK("http://www.ncbi.nlm.nih.gov/gene/6323","6323")</f>
        <v>6323</v>
      </c>
      <c r="B3576" s="1" t="s">
        <v>8369</v>
      </c>
      <c r="C3576" t="s">
        <v>8370</v>
      </c>
      <c r="D3576">
        <v>146.4</v>
      </c>
      <c r="E3576">
        <v>143.80000000000001</v>
      </c>
      <c r="F3576">
        <v>99.9</v>
      </c>
      <c r="G3576">
        <v>99.5</v>
      </c>
      <c r="H3576">
        <v>155.1</v>
      </c>
      <c r="I3576">
        <v>159.5</v>
      </c>
      <c r="J3576">
        <v>100</v>
      </c>
      <c r="K3576">
        <v>100</v>
      </c>
      <c r="L3576" s="1" t="s">
        <v>8369</v>
      </c>
      <c r="M3576" t="s">
        <v>877</v>
      </c>
      <c r="N3576">
        <v>4</v>
      </c>
    </row>
    <row r="3577" spans="1:14" x14ac:dyDescent="0.25">
      <c r="A3577" s="3" t="str">
        <f>HYPERLINK("http://www.ncbi.nlm.nih.gov/gene/6324","6324")</f>
        <v>6324</v>
      </c>
      <c r="B3577" s="1" t="s">
        <v>8371</v>
      </c>
      <c r="C3577" t="s">
        <v>8372</v>
      </c>
      <c r="D3577">
        <v>185.3</v>
      </c>
      <c r="E3577">
        <v>178.3</v>
      </c>
      <c r="F3577">
        <v>98</v>
      </c>
      <c r="G3577">
        <v>96.4</v>
      </c>
      <c r="H3577">
        <v>140.80000000000001</v>
      </c>
      <c r="I3577">
        <v>142.69999999999999</v>
      </c>
      <c r="J3577">
        <v>99.8</v>
      </c>
      <c r="K3577">
        <v>99.3</v>
      </c>
      <c r="L3577" s="1" t="s">
        <v>8371</v>
      </c>
      <c r="M3577" t="s">
        <v>8373</v>
      </c>
      <c r="N3577">
        <v>6</v>
      </c>
    </row>
    <row r="3578" spans="1:14" x14ac:dyDescent="0.25">
      <c r="A3578" s="3" t="str">
        <f>HYPERLINK("http://www.ncbi.nlm.nih.gov/gene/6326","6326")</f>
        <v>6326</v>
      </c>
      <c r="B3578" s="1" t="s">
        <v>8374</v>
      </c>
      <c r="C3578" t="s">
        <v>8375</v>
      </c>
      <c r="D3578">
        <v>164.9</v>
      </c>
      <c r="E3578">
        <v>165</v>
      </c>
      <c r="F3578">
        <v>99.6</v>
      </c>
      <c r="G3578">
        <v>97.6</v>
      </c>
      <c r="H3578">
        <v>149.69999999999999</v>
      </c>
      <c r="I3578">
        <v>158.1</v>
      </c>
      <c r="J3578">
        <v>100</v>
      </c>
      <c r="K3578">
        <v>100</v>
      </c>
      <c r="L3578" s="1" t="s">
        <v>8374</v>
      </c>
      <c r="M3578" t="s">
        <v>877</v>
      </c>
      <c r="N3578">
        <v>4</v>
      </c>
    </row>
    <row r="3579" spans="1:14" x14ac:dyDescent="0.25">
      <c r="A3579" s="3" t="str">
        <f>HYPERLINK("http://www.ncbi.nlm.nih.gov/gene/6327","6327")</f>
        <v>6327</v>
      </c>
      <c r="B3579" s="1" t="s">
        <v>8376</v>
      </c>
      <c r="C3579" t="s">
        <v>8377</v>
      </c>
      <c r="D3579">
        <v>202.1</v>
      </c>
      <c r="E3579">
        <v>219</v>
      </c>
      <c r="F3579">
        <v>100</v>
      </c>
      <c r="G3579">
        <v>100</v>
      </c>
      <c r="H3579">
        <v>120.5</v>
      </c>
      <c r="I3579">
        <v>124.9</v>
      </c>
      <c r="J3579">
        <v>100</v>
      </c>
      <c r="K3579">
        <v>100</v>
      </c>
      <c r="L3579" s="1" t="s">
        <v>8376</v>
      </c>
      <c r="M3579" t="s">
        <v>4331</v>
      </c>
      <c r="N3579">
        <v>3</v>
      </c>
    </row>
    <row r="3580" spans="1:14" x14ac:dyDescent="0.25">
      <c r="A3580" s="3" t="str">
        <f>HYPERLINK("http://www.ncbi.nlm.nih.gov/gene/6328","6328")</f>
        <v>6328</v>
      </c>
      <c r="B3580" s="1" t="s">
        <v>8378</v>
      </c>
      <c r="C3580" t="s">
        <v>8379</v>
      </c>
      <c r="D3580">
        <v>172.5</v>
      </c>
      <c r="E3580">
        <v>173.5</v>
      </c>
      <c r="F3580">
        <v>99.8</v>
      </c>
      <c r="G3580">
        <v>99.2</v>
      </c>
      <c r="H3580">
        <v>160.9</v>
      </c>
      <c r="I3580">
        <v>167.3</v>
      </c>
      <c r="J3580">
        <v>100</v>
      </c>
      <c r="K3580">
        <v>100</v>
      </c>
      <c r="L3580" s="1" t="s">
        <v>8378</v>
      </c>
      <c r="M3580" t="s">
        <v>4328</v>
      </c>
      <c r="N3580">
        <v>4</v>
      </c>
    </row>
    <row r="3581" spans="1:14" x14ac:dyDescent="0.25">
      <c r="A3581" s="3" t="str">
        <f>HYPERLINK("http://www.ncbi.nlm.nih.gov/gene/55800","55800")</f>
        <v>55800</v>
      </c>
      <c r="B3581" s="1" t="s">
        <v>8380</v>
      </c>
      <c r="C3581" t="s">
        <v>8381</v>
      </c>
      <c r="D3581">
        <v>147.9</v>
      </c>
      <c r="E3581">
        <v>151.4</v>
      </c>
      <c r="F3581">
        <v>100</v>
      </c>
      <c r="G3581">
        <v>100</v>
      </c>
      <c r="H3581">
        <v>131.5</v>
      </c>
      <c r="I3581">
        <v>135.1</v>
      </c>
      <c r="J3581">
        <v>100</v>
      </c>
      <c r="K3581">
        <v>100</v>
      </c>
      <c r="L3581" s="1" t="s">
        <v>8380</v>
      </c>
      <c r="M3581" t="s">
        <v>4331</v>
      </c>
      <c r="N3581">
        <v>3</v>
      </c>
    </row>
    <row r="3582" spans="1:14" x14ac:dyDescent="0.25">
      <c r="A3582" s="3" t="str">
        <f>HYPERLINK("http://www.ncbi.nlm.nih.gov/gene/6329","6329")</f>
        <v>6329</v>
      </c>
      <c r="B3582" s="1" t="s">
        <v>8382</v>
      </c>
      <c r="C3582" t="s">
        <v>8383</v>
      </c>
      <c r="D3582">
        <v>179.3</v>
      </c>
      <c r="E3582">
        <v>187.3</v>
      </c>
      <c r="F3582">
        <v>100</v>
      </c>
      <c r="G3582">
        <v>99.6</v>
      </c>
      <c r="H3582">
        <v>150.5</v>
      </c>
      <c r="I3582">
        <v>154.5</v>
      </c>
      <c r="J3582">
        <v>100</v>
      </c>
      <c r="K3582">
        <v>100</v>
      </c>
      <c r="L3582" s="1" t="s">
        <v>8382</v>
      </c>
      <c r="M3582" t="s">
        <v>8384</v>
      </c>
      <c r="N3582">
        <v>4</v>
      </c>
    </row>
    <row r="3583" spans="1:14" x14ac:dyDescent="0.25">
      <c r="A3583" s="3" t="str">
        <f>HYPERLINK("http://www.ncbi.nlm.nih.gov/gene/6330","6330")</f>
        <v>6330</v>
      </c>
      <c r="B3583" s="1" t="s">
        <v>8385</v>
      </c>
      <c r="C3583" t="s">
        <v>8386</v>
      </c>
      <c r="D3583">
        <v>78.8</v>
      </c>
      <c r="E3583">
        <v>82.6</v>
      </c>
      <c r="F3583">
        <v>100</v>
      </c>
      <c r="G3583">
        <v>99.6</v>
      </c>
      <c r="H3583">
        <v>137.19999999999999</v>
      </c>
      <c r="I3583">
        <v>140.9</v>
      </c>
      <c r="J3583">
        <v>100</v>
      </c>
      <c r="K3583">
        <v>100</v>
      </c>
      <c r="L3583" s="1" t="s">
        <v>8385</v>
      </c>
      <c r="M3583" t="s">
        <v>4331</v>
      </c>
      <c r="N3583">
        <v>3</v>
      </c>
    </row>
    <row r="3584" spans="1:14" x14ac:dyDescent="0.25">
      <c r="A3584" s="3" t="str">
        <f>HYPERLINK("http://www.ncbi.nlm.nih.gov/gene/6331","6331")</f>
        <v>6331</v>
      </c>
      <c r="B3584" s="1" t="s">
        <v>8387</v>
      </c>
      <c r="C3584" t="s">
        <v>8388</v>
      </c>
      <c r="D3584">
        <v>151.9</v>
      </c>
      <c r="E3584">
        <v>159.4</v>
      </c>
      <c r="F3584">
        <v>99</v>
      </c>
      <c r="G3584">
        <v>99</v>
      </c>
      <c r="H3584">
        <v>147.9</v>
      </c>
      <c r="I3584">
        <v>151.6</v>
      </c>
      <c r="J3584">
        <v>100</v>
      </c>
      <c r="K3584">
        <v>100</v>
      </c>
      <c r="L3584" s="1" t="s">
        <v>8387</v>
      </c>
      <c r="M3584" t="s">
        <v>8389</v>
      </c>
      <c r="N3584">
        <v>2</v>
      </c>
    </row>
    <row r="3585" spans="1:14" x14ac:dyDescent="0.25">
      <c r="A3585" s="3" t="str">
        <f>HYPERLINK("http://www.ncbi.nlm.nih.gov/gene/6332","6332")</f>
        <v>6332</v>
      </c>
      <c r="B3585" s="1" t="s">
        <v>8390</v>
      </c>
      <c r="C3585" t="s">
        <v>8391</v>
      </c>
      <c r="D3585">
        <v>126.2</v>
      </c>
      <c r="E3585">
        <v>126.5</v>
      </c>
      <c r="F3585">
        <v>98.3</v>
      </c>
      <c r="G3585">
        <v>93.3</v>
      </c>
      <c r="H3585">
        <v>133.80000000000001</v>
      </c>
      <c r="I3585">
        <v>136.69999999999999</v>
      </c>
      <c r="J3585">
        <v>100</v>
      </c>
      <c r="K3585">
        <v>100</v>
      </c>
      <c r="L3585" s="1" t="s">
        <v>8390</v>
      </c>
      <c r="M3585" t="s">
        <v>1335</v>
      </c>
      <c r="N3585">
        <v>2</v>
      </c>
    </row>
    <row r="3586" spans="1:14" x14ac:dyDescent="0.25">
      <c r="A3586" s="3" t="str">
        <f>HYPERLINK("http://www.ncbi.nlm.nih.gov/gene/6334","6334")</f>
        <v>6334</v>
      </c>
      <c r="B3586" s="1" t="s">
        <v>8392</v>
      </c>
      <c r="C3586" t="s">
        <v>8393</v>
      </c>
      <c r="D3586">
        <v>182.1</v>
      </c>
      <c r="E3586">
        <v>189.5</v>
      </c>
      <c r="F3586">
        <v>100</v>
      </c>
      <c r="G3586">
        <v>99.8</v>
      </c>
      <c r="H3586">
        <v>147.30000000000001</v>
      </c>
      <c r="I3586">
        <v>149.80000000000001</v>
      </c>
      <c r="J3586">
        <v>100</v>
      </c>
      <c r="K3586">
        <v>100</v>
      </c>
      <c r="L3586" s="1" t="s">
        <v>8392</v>
      </c>
      <c r="M3586" t="s">
        <v>1342</v>
      </c>
      <c r="N3586">
        <v>5</v>
      </c>
    </row>
    <row r="3587" spans="1:14" x14ac:dyDescent="0.25">
      <c r="A3587" s="3" t="str">
        <f>HYPERLINK("http://www.ncbi.nlm.nih.gov/gene/6335","6335")</f>
        <v>6335</v>
      </c>
      <c r="B3587" s="1" t="s">
        <v>8394</v>
      </c>
      <c r="C3587" t="s">
        <v>8395</v>
      </c>
      <c r="D3587">
        <v>165.2</v>
      </c>
      <c r="E3587">
        <v>163.1</v>
      </c>
      <c r="F3587">
        <v>99.3</v>
      </c>
      <c r="G3587">
        <v>97.9</v>
      </c>
      <c r="H3587">
        <v>150.69999999999999</v>
      </c>
      <c r="I3587">
        <v>154.1</v>
      </c>
      <c r="J3587">
        <v>100</v>
      </c>
      <c r="K3587">
        <v>100</v>
      </c>
      <c r="L3587" s="1" t="s">
        <v>8394</v>
      </c>
      <c r="M3587" t="s">
        <v>8396</v>
      </c>
      <c r="N3587">
        <v>5</v>
      </c>
    </row>
    <row r="3588" spans="1:14" x14ac:dyDescent="0.25">
      <c r="A3588" s="3" t="str">
        <f>HYPERLINK("http://www.ncbi.nlm.nih.gov/gene/6337","6337")</f>
        <v>6337</v>
      </c>
      <c r="B3588" s="1" t="s">
        <v>8397</v>
      </c>
      <c r="C3588" t="s">
        <v>8398</v>
      </c>
      <c r="D3588">
        <v>130.5</v>
      </c>
      <c r="E3588">
        <v>131.4</v>
      </c>
      <c r="F3588">
        <v>99.7</v>
      </c>
      <c r="G3588">
        <v>98.2</v>
      </c>
      <c r="H3588">
        <v>152.80000000000001</v>
      </c>
      <c r="I3588">
        <v>156.19999999999999</v>
      </c>
      <c r="J3588">
        <v>100</v>
      </c>
      <c r="K3588">
        <v>100</v>
      </c>
      <c r="L3588" s="1" t="s">
        <v>8397</v>
      </c>
      <c r="M3588" t="s">
        <v>8399</v>
      </c>
      <c r="N3588">
        <v>3</v>
      </c>
    </row>
    <row r="3589" spans="1:14" x14ac:dyDescent="0.25">
      <c r="A3589" s="3" t="str">
        <f>HYPERLINK("http://www.ncbi.nlm.nih.gov/gene/6338","6338")</f>
        <v>6338</v>
      </c>
      <c r="B3589" s="1" t="s">
        <v>8400</v>
      </c>
      <c r="C3589" t="s">
        <v>8401</v>
      </c>
      <c r="D3589">
        <v>142.5</v>
      </c>
      <c r="E3589">
        <v>146.19999999999999</v>
      </c>
      <c r="F3589">
        <v>100</v>
      </c>
      <c r="G3589">
        <v>99.7</v>
      </c>
      <c r="H3589">
        <v>156.6</v>
      </c>
      <c r="I3589">
        <v>159.80000000000001</v>
      </c>
      <c r="J3589">
        <v>100</v>
      </c>
      <c r="K3589">
        <v>100</v>
      </c>
      <c r="L3589" s="1" t="s">
        <v>8400</v>
      </c>
      <c r="M3589" t="s">
        <v>5181</v>
      </c>
      <c r="N3589">
        <v>3</v>
      </c>
    </row>
    <row r="3590" spans="1:14" x14ac:dyDescent="0.25">
      <c r="A3590" s="3" t="str">
        <f>HYPERLINK("http://www.ncbi.nlm.nih.gov/gene/6340","6340")</f>
        <v>6340</v>
      </c>
      <c r="B3590" s="1" t="s">
        <v>8402</v>
      </c>
      <c r="C3590" t="s">
        <v>8403</v>
      </c>
      <c r="D3590">
        <v>158</v>
      </c>
      <c r="E3590">
        <v>164.6</v>
      </c>
      <c r="F3590">
        <v>99.8</v>
      </c>
      <c r="G3590">
        <v>98.3</v>
      </c>
      <c r="H3590">
        <v>149</v>
      </c>
      <c r="I3590">
        <v>153.19999999999999</v>
      </c>
      <c r="J3590">
        <v>100</v>
      </c>
      <c r="K3590">
        <v>100</v>
      </c>
      <c r="L3590" s="1" t="s">
        <v>8402</v>
      </c>
      <c r="M3590" t="s">
        <v>5181</v>
      </c>
      <c r="N3590">
        <v>3</v>
      </c>
    </row>
    <row r="3591" spans="1:14" x14ac:dyDescent="0.25">
      <c r="A3591" s="3" t="str">
        <f>HYPERLINK("http://www.ncbi.nlm.nih.gov/gene/6341","6341")</f>
        <v>6341</v>
      </c>
      <c r="B3591" s="1" t="s">
        <v>8404</v>
      </c>
      <c r="C3591" t="s">
        <v>8405</v>
      </c>
      <c r="D3591">
        <v>116.8</v>
      </c>
      <c r="E3591">
        <v>115.4</v>
      </c>
      <c r="F3591">
        <v>97.1</v>
      </c>
      <c r="G3591">
        <v>93.8</v>
      </c>
      <c r="H3591">
        <v>158.9</v>
      </c>
      <c r="I3591">
        <v>162.69999999999999</v>
      </c>
      <c r="J3591">
        <v>100</v>
      </c>
      <c r="K3591">
        <v>100</v>
      </c>
      <c r="L3591" s="1" t="s">
        <v>8404</v>
      </c>
      <c r="M3591" t="s">
        <v>8406</v>
      </c>
      <c r="N3591">
        <v>5</v>
      </c>
    </row>
    <row r="3592" spans="1:14" x14ac:dyDescent="0.25">
      <c r="A3592" s="3" t="str">
        <f>HYPERLINK("http://www.ncbi.nlm.nih.gov/gene/9997","9997")</f>
        <v>9997</v>
      </c>
      <c r="B3592" s="1" t="s">
        <v>8407</v>
      </c>
      <c r="C3592" t="s">
        <v>8408</v>
      </c>
      <c r="D3592">
        <v>112</v>
      </c>
      <c r="E3592">
        <v>107.3</v>
      </c>
      <c r="F3592">
        <v>100</v>
      </c>
      <c r="G3592">
        <v>100</v>
      </c>
      <c r="H3592">
        <v>146.1</v>
      </c>
      <c r="I3592">
        <v>159</v>
      </c>
      <c r="J3592">
        <v>100</v>
      </c>
      <c r="K3592">
        <v>100</v>
      </c>
      <c r="L3592" s="1" t="s">
        <v>8407</v>
      </c>
      <c r="M3592" t="s">
        <v>8409</v>
      </c>
      <c r="N3592">
        <v>6</v>
      </c>
    </row>
    <row r="3593" spans="1:14" x14ac:dyDescent="0.25">
      <c r="A3593" s="3" t="str">
        <f>HYPERLINK("http://www.ncbi.nlm.nih.gov/gene/6342","6342")</f>
        <v>6342</v>
      </c>
      <c r="B3593" s="1" t="s">
        <v>8410</v>
      </c>
      <c r="C3593" t="s">
        <v>8411</v>
      </c>
      <c r="D3593">
        <v>125.9</v>
      </c>
      <c r="E3593">
        <v>130.80000000000001</v>
      </c>
      <c r="F3593">
        <v>100</v>
      </c>
      <c r="G3593">
        <v>99.2</v>
      </c>
      <c r="H3593">
        <v>115.2</v>
      </c>
      <c r="I3593">
        <v>117.9</v>
      </c>
      <c r="J3593">
        <v>100</v>
      </c>
      <c r="K3593">
        <v>100</v>
      </c>
      <c r="L3593" s="1" t="s">
        <v>8410</v>
      </c>
      <c r="M3593" t="s">
        <v>8412</v>
      </c>
      <c r="N3593">
        <v>5</v>
      </c>
    </row>
    <row r="3594" spans="1:14" x14ac:dyDescent="0.25">
      <c r="A3594" s="3" t="str">
        <f>HYPERLINK("http://www.ncbi.nlm.nih.gov/gene/57410","57410")</f>
        <v>57410</v>
      </c>
      <c r="B3594" s="1" t="s">
        <v>8413</v>
      </c>
      <c r="C3594" t="s">
        <v>8414</v>
      </c>
      <c r="D3594">
        <v>151.69999999999999</v>
      </c>
      <c r="E3594">
        <v>155.19999999999999</v>
      </c>
      <c r="F3594">
        <v>100</v>
      </c>
      <c r="G3594">
        <v>100</v>
      </c>
      <c r="H3594">
        <v>132.4</v>
      </c>
      <c r="I3594">
        <v>135.4</v>
      </c>
      <c r="J3594">
        <v>100</v>
      </c>
      <c r="K3594">
        <v>100</v>
      </c>
      <c r="L3594" s="1" t="s">
        <v>8413</v>
      </c>
      <c r="M3594" t="s">
        <v>8415</v>
      </c>
      <c r="N3594">
        <v>5</v>
      </c>
    </row>
    <row r="3595" spans="1:14" x14ac:dyDescent="0.25">
      <c r="A3595" s="3" t="str">
        <f>HYPERLINK("http://www.ncbi.nlm.nih.gov/gene/10806","10806")</f>
        <v>10806</v>
      </c>
      <c r="B3595" s="1" t="s">
        <v>8416</v>
      </c>
      <c r="C3595" t="s">
        <v>8417</v>
      </c>
      <c r="D3595">
        <v>133</v>
      </c>
      <c r="E3595">
        <v>138</v>
      </c>
      <c r="F3595">
        <v>100</v>
      </c>
      <c r="G3595">
        <v>99.9</v>
      </c>
      <c r="H3595">
        <v>157.69999999999999</v>
      </c>
      <c r="I3595">
        <v>162.1</v>
      </c>
      <c r="J3595">
        <v>100</v>
      </c>
      <c r="K3595">
        <v>100</v>
      </c>
      <c r="L3595" s="1" t="s">
        <v>8416</v>
      </c>
      <c r="M3595" t="s">
        <v>372</v>
      </c>
      <c r="N3595">
        <v>6</v>
      </c>
    </row>
    <row r="3596" spans="1:14" x14ac:dyDescent="0.25">
      <c r="A3596" s="3" t="str">
        <f>HYPERLINK("http://www.ncbi.nlm.nih.gov/gene/6389","6389")</f>
        <v>6389</v>
      </c>
      <c r="B3596" s="1" t="s">
        <v>8418</v>
      </c>
      <c r="C3596" t="s">
        <v>8419</v>
      </c>
      <c r="D3596">
        <v>98</v>
      </c>
      <c r="E3596">
        <v>100</v>
      </c>
      <c r="F3596">
        <v>85.8</v>
      </c>
      <c r="G3596">
        <v>80.400000000000006</v>
      </c>
      <c r="H3596">
        <v>135.80000000000001</v>
      </c>
      <c r="I3596">
        <v>139.30000000000001</v>
      </c>
      <c r="J3596">
        <v>100</v>
      </c>
      <c r="K3596">
        <v>100</v>
      </c>
      <c r="L3596" s="1" t="s">
        <v>8418</v>
      </c>
      <c r="M3596" t="s">
        <v>8420</v>
      </c>
      <c r="N3596">
        <v>6</v>
      </c>
    </row>
    <row r="3597" spans="1:14" x14ac:dyDescent="0.25">
      <c r="A3597" s="3" t="str">
        <f>HYPERLINK("http://www.ncbi.nlm.nih.gov/gene/644096","644096")</f>
        <v>644096</v>
      </c>
      <c r="B3597" s="1" t="s">
        <v>8421</v>
      </c>
      <c r="C3597" t="s">
        <v>8422</v>
      </c>
      <c r="D3597">
        <v>54.6</v>
      </c>
      <c r="E3597">
        <v>40.4</v>
      </c>
      <c r="F3597">
        <v>99.9</v>
      </c>
      <c r="G3597">
        <v>93.2</v>
      </c>
      <c r="H3597">
        <v>114.9</v>
      </c>
      <c r="I3597">
        <v>104.3</v>
      </c>
      <c r="J3597">
        <v>100</v>
      </c>
      <c r="K3597">
        <v>100</v>
      </c>
      <c r="L3597" s="1" t="s">
        <v>8421</v>
      </c>
      <c r="M3597" t="s">
        <v>766</v>
      </c>
      <c r="N3597">
        <v>3</v>
      </c>
    </row>
    <row r="3598" spans="1:14" x14ac:dyDescent="0.25">
      <c r="A3598" s="3" t="str">
        <f>HYPERLINK("http://www.ncbi.nlm.nih.gov/gene/54949","54949")</f>
        <v>54949</v>
      </c>
      <c r="B3598" s="1" t="s">
        <v>8423</v>
      </c>
      <c r="C3598" t="s">
        <v>8424</v>
      </c>
      <c r="D3598">
        <v>132.30000000000001</v>
      </c>
      <c r="E3598">
        <v>139.9</v>
      </c>
      <c r="F3598">
        <v>94.6</v>
      </c>
      <c r="G3598">
        <v>94.2</v>
      </c>
      <c r="H3598">
        <v>125.3</v>
      </c>
      <c r="I3598">
        <v>129.4</v>
      </c>
      <c r="J3598">
        <v>98.9</v>
      </c>
      <c r="K3598">
        <v>95.4</v>
      </c>
      <c r="L3598" s="1" t="s">
        <v>8423</v>
      </c>
      <c r="M3598" t="s">
        <v>19</v>
      </c>
      <c r="N3598">
        <v>2</v>
      </c>
    </row>
    <row r="3599" spans="1:14" x14ac:dyDescent="0.25">
      <c r="A3599" s="3" t="str">
        <f>HYPERLINK("http://www.ncbi.nlm.nih.gov/gene/6390","6390")</f>
        <v>6390</v>
      </c>
      <c r="B3599" s="1" t="s">
        <v>8425</v>
      </c>
      <c r="C3599" t="s">
        <v>8426</v>
      </c>
      <c r="D3599">
        <v>141.9</v>
      </c>
      <c r="E3599">
        <v>146.30000000000001</v>
      </c>
      <c r="F3599">
        <v>100</v>
      </c>
      <c r="G3599">
        <v>100</v>
      </c>
      <c r="H3599">
        <v>120.2</v>
      </c>
      <c r="I3599">
        <v>122.7</v>
      </c>
      <c r="J3599">
        <v>100</v>
      </c>
      <c r="K3599">
        <v>100</v>
      </c>
      <c r="L3599" s="1" t="s">
        <v>8425</v>
      </c>
      <c r="M3599" t="s">
        <v>8427</v>
      </c>
      <c r="N3599">
        <v>3</v>
      </c>
    </row>
    <row r="3600" spans="1:14" x14ac:dyDescent="0.25">
      <c r="A3600" s="3" t="str">
        <f>HYPERLINK("http://www.ncbi.nlm.nih.gov/gene/6391","6391")</f>
        <v>6391</v>
      </c>
      <c r="B3600" s="1" t="s">
        <v>8428</v>
      </c>
      <c r="C3600" t="s">
        <v>8429</v>
      </c>
      <c r="D3600">
        <v>104</v>
      </c>
      <c r="E3600">
        <v>107.5</v>
      </c>
      <c r="F3600">
        <v>100</v>
      </c>
      <c r="G3600">
        <v>99.3</v>
      </c>
      <c r="H3600">
        <v>147.30000000000001</v>
      </c>
      <c r="I3600">
        <v>151.19999999999999</v>
      </c>
      <c r="J3600">
        <v>100</v>
      </c>
      <c r="K3600">
        <v>100</v>
      </c>
      <c r="L3600" s="1" t="s">
        <v>8428</v>
      </c>
      <c r="M3600" t="s">
        <v>1256</v>
      </c>
      <c r="N3600">
        <v>2</v>
      </c>
    </row>
    <row r="3601" spans="1:14" x14ac:dyDescent="0.25">
      <c r="A3601" s="3" t="str">
        <f>HYPERLINK("http://www.ncbi.nlm.nih.gov/gene/6392","6392")</f>
        <v>6392</v>
      </c>
      <c r="B3601" s="1" t="s">
        <v>8430</v>
      </c>
      <c r="C3601" t="s">
        <v>8431</v>
      </c>
      <c r="D3601">
        <v>50.9</v>
      </c>
      <c r="E3601">
        <v>48.5</v>
      </c>
      <c r="F3601">
        <v>54</v>
      </c>
      <c r="G3601">
        <v>51.6</v>
      </c>
      <c r="H3601">
        <v>106.3</v>
      </c>
      <c r="I3601">
        <v>108.8</v>
      </c>
      <c r="J3601">
        <v>80.099999999999994</v>
      </c>
      <c r="K3601">
        <v>80.099999999999994</v>
      </c>
      <c r="L3601" s="1" t="s">
        <v>8430</v>
      </c>
      <c r="M3601" t="s">
        <v>8432</v>
      </c>
      <c r="N3601">
        <v>4</v>
      </c>
    </row>
    <row r="3602" spans="1:14" x14ac:dyDescent="0.25">
      <c r="A3602" s="3" t="str">
        <f>HYPERLINK("http://www.ncbi.nlm.nih.gov/gene/121214","121214")</f>
        <v>121214</v>
      </c>
      <c r="B3602" s="1" t="s">
        <v>8433</v>
      </c>
      <c r="C3602" t="s">
        <v>8434</v>
      </c>
      <c r="D3602">
        <v>195.7</v>
      </c>
      <c r="E3602">
        <v>200.1</v>
      </c>
      <c r="F3602">
        <v>100</v>
      </c>
      <c r="G3602">
        <v>100</v>
      </c>
      <c r="H3602">
        <v>160.6</v>
      </c>
      <c r="I3602">
        <v>166.1</v>
      </c>
      <c r="J3602">
        <v>100</v>
      </c>
      <c r="K3602">
        <v>100</v>
      </c>
      <c r="L3602" s="1" t="s">
        <v>8433</v>
      </c>
      <c r="M3602" t="s">
        <v>246</v>
      </c>
      <c r="N3602">
        <v>3</v>
      </c>
    </row>
    <row r="3603" spans="1:14" x14ac:dyDescent="0.25">
      <c r="A3603" s="3" t="str">
        <f>HYPERLINK("http://www.ncbi.nlm.nih.gov/gene/10484","10484")</f>
        <v>10484</v>
      </c>
      <c r="B3603" s="1" t="s">
        <v>8435</v>
      </c>
      <c r="C3603" t="s">
        <v>8436</v>
      </c>
      <c r="D3603">
        <v>148.19999999999999</v>
      </c>
      <c r="E3603">
        <v>154.5</v>
      </c>
      <c r="F3603">
        <v>99.7</v>
      </c>
      <c r="G3603">
        <v>98.2</v>
      </c>
      <c r="H3603">
        <v>130.19999999999999</v>
      </c>
      <c r="I3603">
        <v>134</v>
      </c>
      <c r="J3603">
        <v>100</v>
      </c>
      <c r="K3603">
        <v>100</v>
      </c>
      <c r="L3603" s="1" t="s">
        <v>8435</v>
      </c>
      <c r="M3603" t="s">
        <v>2164</v>
      </c>
      <c r="N3603">
        <v>3</v>
      </c>
    </row>
    <row r="3604" spans="1:14" x14ac:dyDescent="0.25">
      <c r="A3604" s="3" t="str">
        <f>HYPERLINK("http://www.ncbi.nlm.nih.gov/gene/10483","10483")</f>
        <v>10483</v>
      </c>
      <c r="B3604" s="1" t="s">
        <v>8437</v>
      </c>
      <c r="C3604" t="s">
        <v>8438</v>
      </c>
      <c r="D3604">
        <v>151.6</v>
      </c>
      <c r="E3604">
        <v>156.19999999999999</v>
      </c>
      <c r="F3604">
        <v>99.9</v>
      </c>
      <c r="G3604">
        <v>99.3</v>
      </c>
      <c r="H3604">
        <v>133.30000000000001</v>
      </c>
      <c r="I3604">
        <v>136.9</v>
      </c>
      <c r="J3604">
        <v>100</v>
      </c>
      <c r="K3604">
        <v>100</v>
      </c>
      <c r="L3604" s="1" t="s">
        <v>8437</v>
      </c>
      <c r="M3604" t="s">
        <v>8439</v>
      </c>
      <c r="N3604">
        <v>5</v>
      </c>
    </row>
    <row r="3605" spans="1:14" x14ac:dyDescent="0.25">
      <c r="A3605" s="3" t="str">
        <f>HYPERLINK("http://www.ncbi.nlm.nih.gov/gene/9871","9871")</f>
        <v>9871</v>
      </c>
      <c r="B3605" s="1" t="s">
        <v>8440</v>
      </c>
      <c r="C3605" t="s">
        <v>8441</v>
      </c>
      <c r="D3605">
        <v>155.80000000000001</v>
      </c>
      <c r="E3605">
        <v>160.30000000000001</v>
      </c>
      <c r="F3605">
        <v>100</v>
      </c>
      <c r="G3605">
        <v>99.7</v>
      </c>
      <c r="H3605">
        <v>133.1</v>
      </c>
      <c r="I3605">
        <v>137.1</v>
      </c>
      <c r="J3605">
        <v>100</v>
      </c>
      <c r="K3605">
        <v>100</v>
      </c>
      <c r="L3605" s="1" t="s">
        <v>8440</v>
      </c>
      <c r="M3605" t="s">
        <v>4225</v>
      </c>
      <c r="N3605">
        <v>4</v>
      </c>
    </row>
    <row r="3606" spans="1:14" x14ac:dyDescent="0.25">
      <c r="A3606" s="3" t="str">
        <f>HYPERLINK("http://www.ncbi.nlm.nih.gov/gene/22872","22872")</f>
        <v>22872</v>
      </c>
      <c r="B3606" s="1" t="s">
        <v>8442</v>
      </c>
      <c r="C3606" t="s">
        <v>8443</v>
      </c>
      <c r="D3606">
        <v>129.5</v>
      </c>
      <c r="E3606">
        <v>134.19999999999999</v>
      </c>
      <c r="F3606">
        <v>99.3</v>
      </c>
      <c r="G3606">
        <v>97.1</v>
      </c>
      <c r="H3606">
        <v>135.9</v>
      </c>
      <c r="I3606">
        <v>139.9</v>
      </c>
      <c r="J3606">
        <v>100</v>
      </c>
      <c r="K3606">
        <v>100</v>
      </c>
      <c r="L3606" s="1" t="s">
        <v>8442</v>
      </c>
      <c r="M3606" t="s">
        <v>228</v>
      </c>
      <c r="N3606">
        <v>3</v>
      </c>
    </row>
    <row r="3607" spans="1:14" x14ac:dyDescent="0.25">
      <c r="A3607" s="3" t="str">
        <f>HYPERLINK("http://www.ncbi.nlm.nih.gov/gene/29927","29927")</f>
        <v>29927</v>
      </c>
      <c r="B3607" s="1" t="s">
        <v>8444</v>
      </c>
      <c r="C3607" t="s">
        <v>8445</v>
      </c>
      <c r="D3607">
        <v>140.80000000000001</v>
      </c>
      <c r="E3607">
        <v>148</v>
      </c>
      <c r="F3607">
        <v>100</v>
      </c>
      <c r="G3607">
        <v>100</v>
      </c>
      <c r="H3607">
        <v>146</v>
      </c>
      <c r="I3607">
        <v>149.80000000000001</v>
      </c>
      <c r="J3607">
        <v>100</v>
      </c>
      <c r="K3607">
        <v>100</v>
      </c>
      <c r="L3607" s="1" t="s">
        <v>8444</v>
      </c>
      <c r="M3607" t="s">
        <v>8446</v>
      </c>
      <c r="N3607">
        <v>3</v>
      </c>
    </row>
    <row r="3608" spans="1:14" x14ac:dyDescent="0.25">
      <c r="A3608" s="3" t="str">
        <f>HYPERLINK("http://www.ncbi.nlm.nih.gov/gene/10952","10952")</f>
        <v>10952</v>
      </c>
      <c r="B3608" s="1" t="s">
        <v>8447</v>
      </c>
      <c r="D3608">
        <v>114.1</v>
      </c>
      <c r="E3608">
        <v>118.5</v>
      </c>
      <c r="F3608">
        <v>99.1</v>
      </c>
      <c r="G3608">
        <v>92.4</v>
      </c>
      <c r="H3608">
        <v>157.30000000000001</v>
      </c>
      <c r="I3608">
        <v>160.30000000000001</v>
      </c>
      <c r="J3608">
        <v>100</v>
      </c>
      <c r="K3608">
        <v>100</v>
      </c>
      <c r="L3608" s="1" t="s">
        <v>8447</v>
      </c>
      <c r="M3608" t="s">
        <v>186</v>
      </c>
      <c r="N3608">
        <v>2</v>
      </c>
    </row>
    <row r="3609" spans="1:14" x14ac:dyDescent="0.25">
      <c r="A3609" s="3" t="str">
        <f>HYPERLINK("http://www.ncbi.nlm.nih.gov/gene/11231","11231")</f>
        <v>11231</v>
      </c>
      <c r="B3609" s="1" t="s">
        <v>8448</v>
      </c>
      <c r="C3609" t="s">
        <v>8449</v>
      </c>
      <c r="D3609">
        <v>97.8</v>
      </c>
      <c r="E3609">
        <v>99.2</v>
      </c>
      <c r="F3609">
        <v>91.2</v>
      </c>
      <c r="G3609">
        <v>83.3</v>
      </c>
      <c r="H3609">
        <v>132.1</v>
      </c>
      <c r="I3609">
        <v>135</v>
      </c>
      <c r="J3609">
        <v>100</v>
      </c>
      <c r="K3609">
        <v>100</v>
      </c>
      <c r="L3609" s="1" t="s">
        <v>8448</v>
      </c>
      <c r="M3609" t="s">
        <v>186</v>
      </c>
      <c r="N3609">
        <v>2</v>
      </c>
    </row>
    <row r="3610" spans="1:14" x14ac:dyDescent="0.25">
      <c r="A3610" s="3" t="str">
        <f>HYPERLINK("http://www.ncbi.nlm.nih.gov/gene/79048","79048")</f>
        <v>79048</v>
      </c>
      <c r="B3610" s="1" t="s">
        <v>8450</v>
      </c>
      <c r="C3610" t="s">
        <v>8451</v>
      </c>
      <c r="D3610">
        <v>131.9</v>
      </c>
      <c r="E3610">
        <v>136.4</v>
      </c>
      <c r="F3610">
        <v>99.8</v>
      </c>
      <c r="G3610">
        <v>97.4</v>
      </c>
      <c r="H3610">
        <v>136.9</v>
      </c>
      <c r="I3610">
        <v>141.5</v>
      </c>
      <c r="J3610">
        <v>100</v>
      </c>
      <c r="K3610">
        <v>100</v>
      </c>
      <c r="L3610" s="1" t="s">
        <v>8450</v>
      </c>
      <c r="M3610" t="s">
        <v>53</v>
      </c>
      <c r="N3610">
        <v>2</v>
      </c>
    </row>
    <row r="3611" spans="1:14" x14ac:dyDescent="0.25">
      <c r="A3611" s="3" t="str">
        <f>HYPERLINK("http://www.ncbi.nlm.nih.gov/gene/8991","8991")</f>
        <v>8991</v>
      </c>
      <c r="B3611" s="1" t="s">
        <v>8452</v>
      </c>
      <c r="C3611" t="s">
        <v>8453</v>
      </c>
      <c r="D3611">
        <v>131.1</v>
      </c>
      <c r="E3611">
        <v>136.9</v>
      </c>
      <c r="F3611">
        <v>100</v>
      </c>
      <c r="G3611">
        <v>100</v>
      </c>
      <c r="H3611">
        <v>140.19999999999999</v>
      </c>
      <c r="I3611">
        <v>143.80000000000001</v>
      </c>
      <c r="J3611">
        <v>100</v>
      </c>
      <c r="K3611">
        <v>100</v>
      </c>
      <c r="L3611" s="1" t="s">
        <v>8452</v>
      </c>
      <c r="M3611" t="s">
        <v>93</v>
      </c>
      <c r="N3611">
        <v>2</v>
      </c>
    </row>
    <row r="3612" spans="1:14" x14ac:dyDescent="0.25">
      <c r="A3612" s="3" t="str">
        <f>HYPERLINK("http://www.ncbi.nlm.nih.gov/gene/57190","57190")</f>
        <v>57190</v>
      </c>
      <c r="B3612" s="1" t="s">
        <v>8454</v>
      </c>
      <c r="C3612" t="s">
        <v>8455</v>
      </c>
      <c r="D3612">
        <v>134.19999999999999</v>
      </c>
      <c r="E3612">
        <v>141.19999999999999</v>
      </c>
      <c r="F3612">
        <v>84.5</v>
      </c>
      <c r="G3612">
        <v>84</v>
      </c>
      <c r="H3612">
        <v>111.8</v>
      </c>
      <c r="I3612">
        <v>115.1</v>
      </c>
      <c r="J3612">
        <v>87.7</v>
      </c>
      <c r="K3612">
        <v>85.1</v>
      </c>
      <c r="L3612" s="1" t="s">
        <v>8454</v>
      </c>
      <c r="M3612" t="s">
        <v>8456</v>
      </c>
      <c r="N3612">
        <v>4</v>
      </c>
    </row>
    <row r="3613" spans="1:14" x14ac:dyDescent="0.25">
      <c r="A3613" s="3" t="str">
        <f>HYPERLINK("http://www.ncbi.nlm.nih.gov/gene/6414","6414")</f>
        <v>6414</v>
      </c>
      <c r="B3613" s="1" t="s">
        <v>8457</v>
      </c>
      <c r="C3613" t="s">
        <v>8458</v>
      </c>
      <c r="D3613">
        <v>158.4</v>
      </c>
      <c r="E3613">
        <v>162.9</v>
      </c>
      <c r="F3613">
        <v>97.2</v>
      </c>
      <c r="G3613">
        <v>89.9</v>
      </c>
      <c r="H3613">
        <v>123.8</v>
      </c>
      <c r="I3613">
        <v>126.6</v>
      </c>
      <c r="J3613">
        <v>100</v>
      </c>
      <c r="K3613">
        <v>100</v>
      </c>
      <c r="L3613" s="1" t="s">
        <v>8457</v>
      </c>
      <c r="M3613" t="s">
        <v>661</v>
      </c>
      <c r="N3613">
        <v>2</v>
      </c>
    </row>
    <row r="3614" spans="1:14" x14ac:dyDescent="0.25">
      <c r="A3614" s="3" t="str">
        <f>HYPERLINK("http://www.ncbi.nlm.nih.gov/gene/10371","10371")</f>
        <v>10371</v>
      </c>
      <c r="B3614" s="1" t="s">
        <v>8459</v>
      </c>
      <c r="C3614" t="s">
        <v>8460</v>
      </c>
      <c r="D3614">
        <v>191.5</v>
      </c>
      <c r="E3614">
        <v>196.5</v>
      </c>
      <c r="F3614">
        <v>100</v>
      </c>
      <c r="G3614">
        <v>99.9</v>
      </c>
      <c r="H3614">
        <v>143.19999999999999</v>
      </c>
      <c r="I3614">
        <v>146.4</v>
      </c>
      <c r="J3614">
        <v>100</v>
      </c>
      <c r="K3614">
        <v>100</v>
      </c>
      <c r="L3614" s="1" t="s">
        <v>8459</v>
      </c>
      <c r="M3614" t="s">
        <v>8461</v>
      </c>
      <c r="N3614">
        <v>4</v>
      </c>
    </row>
    <row r="3615" spans="1:14" x14ac:dyDescent="0.25">
      <c r="A3615" s="3" t="str">
        <f>HYPERLINK("http://www.ncbi.nlm.nih.gov/gene/9723","9723")</f>
        <v>9723</v>
      </c>
      <c r="B3615" s="1" t="s">
        <v>8462</v>
      </c>
      <c r="C3615" t="s">
        <v>8463</v>
      </c>
      <c r="D3615">
        <v>153.6</v>
      </c>
      <c r="E3615">
        <v>158.1</v>
      </c>
      <c r="F3615">
        <v>99.2</v>
      </c>
      <c r="G3615">
        <v>98.9</v>
      </c>
      <c r="H3615">
        <v>144</v>
      </c>
      <c r="I3615">
        <v>146.80000000000001</v>
      </c>
      <c r="J3615">
        <v>100</v>
      </c>
      <c r="K3615">
        <v>100</v>
      </c>
      <c r="L3615" s="1" t="s">
        <v>8462</v>
      </c>
      <c r="M3615" t="s">
        <v>8464</v>
      </c>
      <c r="N3615">
        <v>5</v>
      </c>
    </row>
    <row r="3616" spans="1:14" x14ac:dyDescent="0.25">
      <c r="A3616" s="3" t="str">
        <f>HYPERLINK("http://www.ncbi.nlm.nih.gov/gene/64218","64218")</f>
        <v>64218</v>
      </c>
      <c r="B3616" s="1" t="s">
        <v>8465</v>
      </c>
      <c r="C3616" t="s">
        <v>8466</v>
      </c>
      <c r="D3616">
        <v>129.1</v>
      </c>
      <c r="E3616">
        <v>134.80000000000001</v>
      </c>
      <c r="F3616">
        <v>100</v>
      </c>
      <c r="G3616">
        <v>99.8</v>
      </c>
      <c r="H3616">
        <v>143.69999999999999</v>
      </c>
      <c r="I3616">
        <v>146.69999999999999</v>
      </c>
      <c r="J3616">
        <v>100</v>
      </c>
      <c r="K3616">
        <v>100</v>
      </c>
      <c r="L3616" s="1" t="s">
        <v>8465</v>
      </c>
      <c r="M3616" t="s">
        <v>8467</v>
      </c>
      <c r="N3616">
        <v>4</v>
      </c>
    </row>
    <row r="3617" spans="1:14" x14ac:dyDescent="0.25">
      <c r="A3617" s="3" t="str">
        <f>HYPERLINK("http://www.ncbi.nlm.nih.gov/gene/10501","10501")</f>
        <v>10501</v>
      </c>
      <c r="B3617" s="1" t="s">
        <v>8468</v>
      </c>
      <c r="C3617" t="s">
        <v>8469</v>
      </c>
      <c r="D3617">
        <v>97.7</v>
      </c>
      <c r="E3617">
        <v>88.4</v>
      </c>
      <c r="F3617">
        <v>80.599999999999994</v>
      </c>
      <c r="G3617">
        <v>73.599999999999994</v>
      </c>
      <c r="H3617">
        <v>132.30000000000001</v>
      </c>
      <c r="I3617">
        <v>133.9</v>
      </c>
      <c r="J3617">
        <v>100</v>
      </c>
      <c r="K3617">
        <v>100</v>
      </c>
      <c r="L3617" s="1" t="s">
        <v>8468</v>
      </c>
      <c r="M3617" t="s">
        <v>1867</v>
      </c>
      <c r="N3617">
        <v>2</v>
      </c>
    </row>
    <row r="3618" spans="1:14" x14ac:dyDescent="0.25">
      <c r="A3618" s="3" t="str">
        <f>HYPERLINK("http://www.ncbi.nlm.nih.gov/gene/51091","51091")</f>
        <v>51091</v>
      </c>
      <c r="B3618" s="1" t="s">
        <v>8470</v>
      </c>
      <c r="C3618" t="s">
        <v>8471</v>
      </c>
      <c r="D3618">
        <v>184.6</v>
      </c>
      <c r="E3618">
        <v>192.2</v>
      </c>
      <c r="F3618">
        <v>100</v>
      </c>
      <c r="G3618">
        <v>100</v>
      </c>
      <c r="H3618">
        <v>135.69999999999999</v>
      </c>
      <c r="I3618">
        <v>139.69999999999999</v>
      </c>
      <c r="J3618">
        <v>100</v>
      </c>
      <c r="K3618">
        <v>100</v>
      </c>
      <c r="L3618" s="1" t="s">
        <v>8470</v>
      </c>
      <c r="M3618" t="s">
        <v>449</v>
      </c>
      <c r="N3618">
        <v>6</v>
      </c>
    </row>
    <row r="3619" spans="1:14" x14ac:dyDescent="0.25">
      <c r="A3619" s="3" t="str">
        <f>HYPERLINK("http://www.ncbi.nlm.nih.gov/gene/124404","124404")</f>
        <v>124404</v>
      </c>
      <c r="B3619" s="1" t="s">
        <v>8472</v>
      </c>
      <c r="C3619" t="s">
        <v>8473</v>
      </c>
      <c r="D3619">
        <v>114</v>
      </c>
      <c r="E3619">
        <v>118.9</v>
      </c>
      <c r="F3619">
        <v>100</v>
      </c>
      <c r="G3619">
        <v>98.8</v>
      </c>
      <c r="H3619">
        <v>126</v>
      </c>
      <c r="I3619">
        <v>128.6</v>
      </c>
      <c r="J3619">
        <v>100</v>
      </c>
      <c r="K3619">
        <v>100</v>
      </c>
      <c r="L3619" s="1" t="s">
        <v>8472</v>
      </c>
      <c r="M3619" t="s">
        <v>285</v>
      </c>
      <c r="N3619">
        <v>1</v>
      </c>
    </row>
    <row r="3620" spans="1:14" x14ac:dyDescent="0.25">
      <c r="A3620" s="3" t="str">
        <f>HYPERLINK("http://www.ncbi.nlm.nih.gov/gene/10801","10801")</f>
        <v>10801</v>
      </c>
      <c r="B3620" s="1" t="s">
        <v>8474</v>
      </c>
      <c r="C3620" t="s">
        <v>8475</v>
      </c>
      <c r="D3620">
        <v>151.69999999999999</v>
      </c>
      <c r="E3620">
        <v>154.19999999999999</v>
      </c>
      <c r="F3620">
        <v>100</v>
      </c>
      <c r="G3620">
        <v>99.9</v>
      </c>
      <c r="H3620">
        <v>147.5</v>
      </c>
      <c r="I3620">
        <v>151.5</v>
      </c>
      <c r="J3620">
        <v>100</v>
      </c>
      <c r="K3620">
        <v>100</v>
      </c>
      <c r="L3620" s="1" t="s">
        <v>8474</v>
      </c>
      <c r="M3620" t="s">
        <v>8476</v>
      </c>
      <c r="N3620">
        <v>4</v>
      </c>
    </row>
    <row r="3621" spans="1:14" x14ac:dyDescent="0.25">
      <c r="A3621" s="3" t="str">
        <f>HYPERLINK("http://www.ncbi.nlm.nih.gov/gene/84947","84947")</f>
        <v>84947</v>
      </c>
      <c r="B3621" s="1" t="s">
        <v>8477</v>
      </c>
      <c r="D3621">
        <v>128.9</v>
      </c>
      <c r="E3621">
        <v>134.6</v>
      </c>
      <c r="F3621">
        <v>99.9</v>
      </c>
      <c r="G3621">
        <v>99.5</v>
      </c>
      <c r="H3621">
        <v>130</v>
      </c>
      <c r="I3621">
        <v>133.69999999999999</v>
      </c>
      <c r="J3621">
        <v>100</v>
      </c>
      <c r="K3621">
        <v>100</v>
      </c>
      <c r="L3621" s="1" t="s">
        <v>8477</v>
      </c>
      <c r="M3621" t="s">
        <v>8478</v>
      </c>
      <c r="N3621">
        <v>8</v>
      </c>
    </row>
    <row r="3622" spans="1:14" x14ac:dyDescent="0.25">
      <c r="A3622" s="3" t="str">
        <f>HYPERLINK("http://www.ncbi.nlm.nih.gov/gene/5265","5265")</f>
        <v>5265</v>
      </c>
      <c r="B3622" s="1" t="s">
        <v>8479</v>
      </c>
      <c r="C3622" t="s">
        <v>8480</v>
      </c>
      <c r="D3622">
        <v>107.4</v>
      </c>
      <c r="E3622">
        <v>110.7</v>
      </c>
      <c r="F3622">
        <v>100</v>
      </c>
      <c r="G3622">
        <v>100</v>
      </c>
      <c r="H3622">
        <v>216.5</v>
      </c>
      <c r="I3622">
        <v>222.6</v>
      </c>
      <c r="J3622">
        <v>100</v>
      </c>
      <c r="K3622">
        <v>100</v>
      </c>
      <c r="L3622" s="1" t="s">
        <v>8479</v>
      </c>
      <c r="M3622" t="s">
        <v>65</v>
      </c>
      <c r="N3622">
        <v>3</v>
      </c>
    </row>
    <row r="3623" spans="1:14" x14ac:dyDescent="0.25">
      <c r="A3623" s="3" t="str">
        <f>HYPERLINK("http://www.ncbi.nlm.nih.gov/gene/145264","145264")</f>
        <v>145264</v>
      </c>
      <c r="B3623" s="1" t="s">
        <v>8481</v>
      </c>
      <c r="C3623" t="s">
        <v>8482</v>
      </c>
      <c r="D3623">
        <v>166.9</v>
      </c>
      <c r="E3623">
        <v>173.1</v>
      </c>
      <c r="F3623">
        <v>100</v>
      </c>
      <c r="G3623">
        <v>100</v>
      </c>
      <c r="H3623">
        <v>141.4</v>
      </c>
      <c r="I3623">
        <v>145</v>
      </c>
      <c r="J3623">
        <v>100</v>
      </c>
      <c r="K3623">
        <v>100</v>
      </c>
      <c r="L3623" s="1" t="s">
        <v>8481</v>
      </c>
      <c r="M3623" t="s">
        <v>47</v>
      </c>
      <c r="N3623">
        <v>2</v>
      </c>
    </row>
    <row r="3624" spans="1:14" x14ac:dyDescent="0.25">
      <c r="A3624" s="3" t="str">
        <f>HYPERLINK("http://www.ncbi.nlm.nih.gov/gene/12","12")</f>
        <v>12</v>
      </c>
      <c r="B3624" s="1" t="s">
        <v>8483</v>
      </c>
      <c r="C3624" t="s">
        <v>8484</v>
      </c>
      <c r="D3624">
        <v>136.6</v>
      </c>
      <c r="E3624">
        <v>130.6</v>
      </c>
      <c r="F3624">
        <v>100</v>
      </c>
      <c r="G3624">
        <v>100</v>
      </c>
      <c r="H3624">
        <v>154.80000000000001</v>
      </c>
      <c r="I3624">
        <v>156.80000000000001</v>
      </c>
      <c r="J3624">
        <v>100</v>
      </c>
      <c r="K3624">
        <v>100</v>
      </c>
      <c r="L3624" s="1" t="s">
        <v>8483</v>
      </c>
      <c r="M3624" t="s">
        <v>5197</v>
      </c>
      <c r="N3624">
        <v>2</v>
      </c>
    </row>
    <row r="3625" spans="1:14" x14ac:dyDescent="0.25">
      <c r="A3625" s="3" t="str">
        <f>HYPERLINK("http://www.ncbi.nlm.nih.gov/gene/866","866")</f>
        <v>866</v>
      </c>
      <c r="B3625" s="1" t="s">
        <v>8485</v>
      </c>
      <c r="C3625" t="s">
        <v>8486</v>
      </c>
      <c r="D3625">
        <v>144.9</v>
      </c>
      <c r="E3625">
        <v>146.4</v>
      </c>
      <c r="F3625">
        <v>100</v>
      </c>
      <c r="G3625">
        <v>100</v>
      </c>
      <c r="H3625">
        <v>210.8</v>
      </c>
      <c r="I3625">
        <v>216.3</v>
      </c>
      <c r="J3625">
        <v>100</v>
      </c>
      <c r="K3625">
        <v>100</v>
      </c>
      <c r="L3625" s="1" t="s">
        <v>8485</v>
      </c>
      <c r="M3625" t="s">
        <v>569</v>
      </c>
      <c r="N3625">
        <v>2</v>
      </c>
    </row>
    <row r="3626" spans="1:14" x14ac:dyDescent="0.25">
      <c r="A3626" s="3" t="str">
        <f>HYPERLINK("http://www.ncbi.nlm.nih.gov/gene/5269","5269")</f>
        <v>5269</v>
      </c>
      <c r="B3626" s="1" t="s">
        <v>8487</v>
      </c>
      <c r="C3626" t="s">
        <v>8488</v>
      </c>
      <c r="D3626">
        <v>149.4</v>
      </c>
      <c r="E3626">
        <v>157.9</v>
      </c>
      <c r="F3626">
        <v>93.4</v>
      </c>
      <c r="G3626">
        <v>93.4</v>
      </c>
      <c r="H3626">
        <v>137.19999999999999</v>
      </c>
      <c r="I3626">
        <v>141</v>
      </c>
      <c r="J3626">
        <v>100</v>
      </c>
      <c r="K3626">
        <v>100</v>
      </c>
      <c r="L3626" s="1" t="s">
        <v>8487</v>
      </c>
      <c r="M3626" t="s">
        <v>269</v>
      </c>
      <c r="N3626">
        <v>3</v>
      </c>
    </row>
    <row r="3627" spans="1:14" x14ac:dyDescent="0.25">
      <c r="A3627" s="3" t="str">
        <f>HYPERLINK("http://www.ncbi.nlm.nih.gov/gene/8710","8710")</f>
        <v>8710</v>
      </c>
      <c r="B3627" s="1" t="s">
        <v>8489</v>
      </c>
      <c r="C3627" t="s">
        <v>8490</v>
      </c>
      <c r="D3627">
        <v>153.4</v>
      </c>
      <c r="E3627">
        <v>161.1</v>
      </c>
      <c r="F3627">
        <v>100</v>
      </c>
      <c r="G3627">
        <v>99.9</v>
      </c>
      <c r="H3627">
        <v>138.30000000000001</v>
      </c>
      <c r="I3627">
        <v>144.69999999999999</v>
      </c>
      <c r="J3627">
        <v>100</v>
      </c>
      <c r="K3627">
        <v>100</v>
      </c>
      <c r="L3627" s="1" t="s">
        <v>8489</v>
      </c>
      <c r="M3627" t="s">
        <v>246</v>
      </c>
      <c r="N3627">
        <v>3</v>
      </c>
    </row>
    <row r="3628" spans="1:14" x14ac:dyDescent="0.25">
      <c r="A3628" s="3" t="str">
        <f>HYPERLINK("http://www.ncbi.nlm.nih.gov/gene/5271","5271")</f>
        <v>5271</v>
      </c>
      <c r="B3628" s="1" t="s">
        <v>8491</v>
      </c>
      <c r="C3628" t="s">
        <v>8492</v>
      </c>
      <c r="D3628">
        <v>151.80000000000001</v>
      </c>
      <c r="E3628">
        <v>157.9</v>
      </c>
      <c r="F3628">
        <v>95</v>
      </c>
      <c r="G3628">
        <v>95</v>
      </c>
      <c r="H3628">
        <v>139.5</v>
      </c>
      <c r="I3628">
        <v>141.30000000000001</v>
      </c>
      <c r="J3628">
        <v>100</v>
      </c>
      <c r="K3628">
        <v>100</v>
      </c>
      <c r="L3628" s="1" t="s">
        <v>8491</v>
      </c>
      <c r="M3628" t="s">
        <v>246</v>
      </c>
      <c r="N3628">
        <v>3</v>
      </c>
    </row>
    <row r="3629" spans="1:14" x14ac:dyDescent="0.25">
      <c r="A3629" s="3" t="str">
        <f>HYPERLINK("http://www.ncbi.nlm.nih.gov/gene/462","462")</f>
        <v>462</v>
      </c>
      <c r="B3629" s="1" t="s">
        <v>8493</v>
      </c>
      <c r="C3629" t="s">
        <v>8494</v>
      </c>
      <c r="D3629">
        <v>137</v>
      </c>
      <c r="E3629">
        <v>142.19999999999999</v>
      </c>
      <c r="F3629">
        <v>100</v>
      </c>
      <c r="G3629">
        <v>100</v>
      </c>
      <c r="H3629">
        <v>155.19999999999999</v>
      </c>
      <c r="I3629">
        <v>160.69999999999999</v>
      </c>
      <c r="J3629">
        <v>100</v>
      </c>
      <c r="K3629">
        <v>100</v>
      </c>
      <c r="L3629" s="1" t="s">
        <v>8493</v>
      </c>
      <c r="M3629" t="s">
        <v>3340</v>
      </c>
      <c r="N3629">
        <v>3</v>
      </c>
    </row>
    <row r="3630" spans="1:14" x14ac:dyDescent="0.25">
      <c r="A3630" s="3" t="str">
        <f>HYPERLINK("http://www.ncbi.nlm.nih.gov/gene/3053","3053")</f>
        <v>3053</v>
      </c>
      <c r="B3630" s="1" t="s">
        <v>8495</v>
      </c>
      <c r="C3630" t="s">
        <v>8496</v>
      </c>
      <c r="D3630">
        <v>176.4</v>
      </c>
      <c r="E3630">
        <v>161.9</v>
      </c>
      <c r="F3630">
        <v>100</v>
      </c>
      <c r="G3630">
        <v>100</v>
      </c>
      <c r="H3630">
        <v>160.5</v>
      </c>
      <c r="I3630">
        <v>163.6</v>
      </c>
      <c r="J3630">
        <v>100</v>
      </c>
      <c r="K3630">
        <v>100</v>
      </c>
      <c r="L3630" s="1" t="s">
        <v>8495</v>
      </c>
      <c r="M3630" t="s">
        <v>16</v>
      </c>
      <c r="N3630">
        <v>2</v>
      </c>
    </row>
    <row r="3631" spans="1:14" x14ac:dyDescent="0.25">
      <c r="A3631" s="3" t="str">
        <f>HYPERLINK("http://www.ncbi.nlm.nih.gov/gene/5054","5054")</f>
        <v>5054</v>
      </c>
      <c r="B3631" s="1" t="s">
        <v>8497</v>
      </c>
      <c r="C3631" t="s">
        <v>8498</v>
      </c>
      <c r="D3631">
        <v>147.5</v>
      </c>
      <c r="E3631">
        <v>151.69999999999999</v>
      </c>
      <c r="F3631">
        <v>100</v>
      </c>
      <c r="G3631">
        <v>100</v>
      </c>
      <c r="H3631">
        <v>142.4</v>
      </c>
      <c r="I3631">
        <v>146.69999999999999</v>
      </c>
      <c r="J3631">
        <v>100</v>
      </c>
      <c r="K3631">
        <v>100</v>
      </c>
      <c r="L3631" s="1" t="s">
        <v>8497</v>
      </c>
      <c r="M3631" t="s">
        <v>8499</v>
      </c>
      <c r="N3631">
        <v>4</v>
      </c>
    </row>
    <row r="3632" spans="1:14" x14ac:dyDescent="0.25">
      <c r="A3632" s="3" t="str">
        <f>HYPERLINK("http://www.ncbi.nlm.nih.gov/gene/5176","5176")</f>
        <v>5176</v>
      </c>
      <c r="B3632" s="1" t="s">
        <v>8500</v>
      </c>
      <c r="C3632" t="s">
        <v>8501</v>
      </c>
      <c r="D3632">
        <v>127.5</v>
      </c>
      <c r="E3632">
        <v>134</v>
      </c>
      <c r="F3632">
        <v>100</v>
      </c>
      <c r="G3632">
        <v>100</v>
      </c>
      <c r="H3632">
        <v>143.1</v>
      </c>
      <c r="I3632">
        <v>147.80000000000001</v>
      </c>
      <c r="J3632">
        <v>100</v>
      </c>
      <c r="K3632">
        <v>100</v>
      </c>
      <c r="L3632" s="1" t="s">
        <v>8500</v>
      </c>
      <c r="M3632" t="s">
        <v>5904</v>
      </c>
      <c r="N3632">
        <v>3</v>
      </c>
    </row>
    <row r="3633" spans="1:14" x14ac:dyDescent="0.25">
      <c r="A3633" s="3" t="str">
        <f>HYPERLINK("http://www.ncbi.nlm.nih.gov/gene/5345","5345")</f>
        <v>5345</v>
      </c>
      <c r="B3633" s="1" t="s">
        <v>8502</v>
      </c>
      <c r="C3633" t="s">
        <v>8503</v>
      </c>
      <c r="D3633">
        <v>166.8</v>
      </c>
      <c r="E3633">
        <v>174</v>
      </c>
      <c r="F3633">
        <v>100</v>
      </c>
      <c r="G3633">
        <v>99.8</v>
      </c>
      <c r="H3633">
        <v>216.7</v>
      </c>
      <c r="I3633">
        <v>223.4</v>
      </c>
      <c r="J3633">
        <v>100</v>
      </c>
      <c r="K3633">
        <v>100</v>
      </c>
      <c r="L3633" s="1" t="s">
        <v>8502</v>
      </c>
      <c r="M3633" t="s">
        <v>606</v>
      </c>
      <c r="N3633">
        <v>3</v>
      </c>
    </row>
    <row r="3634" spans="1:14" x14ac:dyDescent="0.25">
      <c r="A3634" s="3" t="str">
        <f>HYPERLINK("http://www.ncbi.nlm.nih.gov/gene/710","710")</f>
        <v>710</v>
      </c>
      <c r="B3634" s="1" t="s">
        <v>8504</v>
      </c>
      <c r="C3634" t="s">
        <v>8505</v>
      </c>
      <c r="D3634">
        <v>109.6</v>
      </c>
      <c r="E3634">
        <v>98.8</v>
      </c>
      <c r="F3634">
        <v>99.7</v>
      </c>
      <c r="G3634">
        <v>97.5</v>
      </c>
      <c r="H3634">
        <v>159</v>
      </c>
      <c r="I3634">
        <v>161.9</v>
      </c>
      <c r="J3634">
        <v>100</v>
      </c>
      <c r="K3634">
        <v>100</v>
      </c>
      <c r="L3634" s="1" t="s">
        <v>8504</v>
      </c>
      <c r="M3634" t="s">
        <v>8506</v>
      </c>
      <c r="N3634">
        <v>4</v>
      </c>
    </row>
    <row r="3635" spans="1:14" x14ac:dyDescent="0.25">
      <c r="A3635" s="3" t="str">
        <f>HYPERLINK("http://www.ncbi.nlm.nih.gov/gene/871","871")</f>
        <v>871</v>
      </c>
      <c r="B3635" s="1" t="s">
        <v>8507</v>
      </c>
      <c r="C3635" t="s">
        <v>8508</v>
      </c>
      <c r="D3635">
        <v>180.4</v>
      </c>
      <c r="E3635">
        <v>179.6</v>
      </c>
      <c r="F3635">
        <v>100</v>
      </c>
      <c r="G3635">
        <v>98.3</v>
      </c>
      <c r="H3635">
        <v>165.3</v>
      </c>
      <c r="I3635">
        <v>170.8</v>
      </c>
      <c r="J3635">
        <v>100</v>
      </c>
      <c r="K3635">
        <v>100</v>
      </c>
      <c r="L3635" s="1" t="s">
        <v>8507</v>
      </c>
      <c r="M3635" t="s">
        <v>239</v>
      </c>
      <c r="N3635">
        <v>4</v>
      </c>
    </row>
    <row r="3636" spans="1:14" x14ac:dyDescent="0.25">
      <c r="A3636" s="3" t="str">
        <f>HYPERLINK("http://www.ncbi.nlm.nih.gov/gene/5274","5274")</f>
        <v>5274</v>
      </c>
      <c r="B3636" s="1" t="s">
        <v>8509</v>
      </c>
      <c r="C3636" t="s">
        <v>8510</v>
      </c>
      <c r="D3636">
        <v>111.9</v>
      </c>
      <c r="E3636">
        <v>119.3</v>
      </c>
      <c r="F3636">
        <v>99.9</v>
      </c>
      <c r="G3636">
        <v>99</v>
      </c>
      <c r="H3636">
        <v>121.2</v>
      </c>
      <c r="I3636">
        <v>124.8</v>
      </c>
      <c r="J3636">
        <v>100</v>
      </c>
      <c r="K3636">
        <v>100</v>
      </c>
      <c r="L3636" s="1" t="s">
        <v>8509</v>
      </c>
      <c r="M3636" t="s">
        <v>1867</v>
      </c>
      <c r="N3636">
        <v>2</v>
      </c>
    </row>
    <row r="3637" spans="1:14" x14ac:dyDescent="0.25">
      <c r="A3637" s="3" t="str">
        <f>HYPERLINK("http://www.ncbi.nlm.nih.gov/gene/6418","6418")</f>
        <v>6418</v>
      </c>
      <c r="B3637" s="1" t="s">
        <v>8511</v>
      </c>
      <c r="C3637" t="s">
        <v>8512</v>
      </c>
      <c r="D3637">
        <v>69.099999999999994</v>
      </c>
      <c r="E3637">
        <v>65.900000000000006</v>
      </c>
      <c r="F3637">
        <v>98.3</v>
      </c>
      <c r="G3637">
        <v>90.5</v>
      </c>
      <c r="H3637">
        <v>129.30000000000001</v>
      </c>
      <c r="I3637">
        <v>133</v>
      </c>
      <c r="J3637">
        <v>98.9</v>
      </c>
      <c r="K3637">
        <v>97</v>
      </c>
      <c r="L3637" s="1" t="s">
        <v>8511</v>
      </c>
      <c r="M3637" t="s">
        <v>189</v>
      </c>
      <c r="N3637">
        <v>2</v>
      </c>
    </row>
    <row r="3638" spans="1:14" x14ac:dyDescent="0.25">
      <c r="A3638" s="3" t="str">
        <f>HYPERLINK("http://www.ncbi.nlm.nih.gov/gene/26040","26040")</f>
        <v>26040</v>
      </c>
      <c r="B3638" s="1" t="s">
        <v>8513</v>
      </c>
      <c r="C3638" t="s">
        <v>8514</v>
      </c>
      <c r="D3638">
        <v>162.6</v>
      </c>
      <c r="E3638">
        <v>141.1</v>
      </c>
      <c r="F3638">
        <v>99.9</v>
      </c>
      <c r="G3638">
        <v>98.7</v>
      </c>
      <c r="H3638">
        <v>155</v>
      </c>
      <c r="I3638">
        <v>157.9</v>
      </c>
      <c r="J3638">
        <v>100</v>
      </c>
      <c r="K3638">
        <v>100</v>
      </c>
      <c r="L3638" s="1" t="s">
        <v>8513</v>
      </c>
      <c r="M3638" t="s">
        <v>189</v>
      </c>
      <c r="N3638">
        <v>2</v>
      </c>
    </row>
    <row r="3639" spans="1:14" x14ac:dyDescent="0.25">
      <c r="A3639" s="3" t="str">
        <f>HYPERLINK("http://www.ncbi.nlm.nih.gov/gene/9739","9739")</f>
        <v>9739</v>
      </c>
      <c r="B3639" s="1" t="s">
        <v>8515</v>
      </c>
      <c r="C3639" t="s">
        <v>8516</v>
      </c>
      <c r="D3639">
        <v>154.69999999999999</v>
      </c>
      <c r="E3639">
        <v>157.80000000000001</v>
      </c>
      <c r="F3639">
        <v>100</v>
      </c>
      <c r="G3639">
        <v>99.8</v>
      </c>
      <c r="H3639">
        <v>146.9</v>
      </c>
      <c r="I3639">
        <v>149.19999999999999</v>
      </c>
      <c r="J3639">
        <v>100</v>
      </c>
      <c r="K3639">
        <v>100</v>
      </c>
      <c r="L3639" s="1" t="s">
        <v>8515</v>
      </c>
      <c r="M3639" t="s">
        <v>189</v>
      </c>
      <c r="N3639">
        <v>2</v>
      </c>
    </row>
    <row r="3640" spans="1:14" x14ac:dyDescent="0.25">
      <c r="A3640" s="3" t="str">
        <f>HYPERLINK("http://www.ncbi.nlm.nih.gov/gene/23067","23067")</f>
        <v>23067</v>
      </c>
      <c r="B3640" s="1" t="s">
        <v>8517</v>
      </c>
      <c r="C3640" t="s">
        <v>8518</v>
      </c>
      <c r="D3640">
        <v>177</v>
      </c>
      <c r="E3640">
        <v>170.4</v>
      </c>
      <c r="F3640">
        <v>98.2</v>
      </c>
      <c r="G3640">
        <v>97.5</v>
      </c>
      <c r="H3640">
        <v>155.19999999999999</v>
      </c>
      <c r="I3640">
        <v>157.1</v>
      </c>
      <c r="J3640">
        <v>100</v>
      </c>
      <c r="K3640">
        <v>100</v>
      </c>
      <c r="L3640" s="1" t="s">
        <v>8517</v>
      </c>
      <c r="M3640" t="s">
        <v>189</v>
      </c>
      <c r="N3640">
        <v>2</v>
      </c>
    </row>
    <row r="3641" spans="1:14" x14ac:dyDescent="0.25">
      <c r="A3641" s="3" t="str">
        <f>HYPERLINK("http://www.ncbi.nlm.nih.gov/gene/29072","29072")</f>
        <v>29072</v>
      </c>
      <c r="B3641" s="1" t="s">
        <v>8519</v>
      </c>
      <c r="C3641" t="s">
        <v>8520</v>
      </c>
      <c r="D3641">
        <v>169.4</v>
      </c>
      <c r="E3641">
        <v>159</v>
      </c>
      <c r="F3641">
        <v>100</v>
      </c>
      <c r="G3641">
        <v>99.9</v>
      </c>
      <c r="H3641">
        <v>139.69999999999999</v>
      </c>
      <c r="I3641">
        <v>139.6</v>
      </c>
      <c r="J3641">
        <v>100</v>
      </c>
      <c r="K3641">
        <v>100</v>
      </c>
      <c r="L3641" s="1" t="s">
        <v>8519</v>
      </c>
      <c r="M3641" t="s">
        <v>697</v>
      </c>
      <c r="N3641">
        <v>3</v>
      </c>
    </row>
    <row r="3642" spans="1:14" x14ac:dyDescent="0.25">
      <c r="A3642" s="3" t="str">
        <f>HYPERLINK("http://www.ncbi.nlm.nih.gov/gene/55209","55209")</f>
        <v>55209</v>
      </c>
      <c r="B3642" s="1" t="s">
        <v>8521</v>
      </c>
      <c r="D3642">
        <v>163.9</v>
      </c>
      <c r="E3642">
        <v>170.4</v>
      </c>
      <c r="F3642">
        <v>100</v>
      </c>
      <c r="G3642">
        <v>99.8</v>
      </c>
      <c r="H3642">
        <v>132.30000000000001</v>
      </c>
      <c r="I3642">
        <v>136.5</v>
      </c>
      <c r="J3642">
        <v>98</v>
      </c>
      <c r="K3642">
        <v>98</v>
      </c>
      <c r="L3642" s="1" t="s">
        <v>8521</v>
      </c>
      <c r="M3642" t="s">
        <v>189</v>
      </c>
      <c r="N3642">
        <v>2</v>
      </c>
    </row>
    <row r="3643" spans="1:14" x14ac:dyDescent="0.25">
      <c r="A3643" s="3" t="str">
        <f>HYPERLINK("http://www.ncbi.nlm.nih.gov/gene/23064","23064")</f>
        <v>23064</v>
      </c>
      <c r="B3643" s="1" t="s">
        <v>8522</v>
      </c>
      <c r="C3643" t="s">
        <v>8523</v>
      </c>
      <c r="D3643">
        <v>184</v>
      </c>
      <c r="E3643">
        <v>182.3</v>
      </c>
      <c r="F3643">
        <v>100</v>
      </c>
      <c r="G3643">
        <v>99.8</v>
      </c>
      <c r="H3643">
        <v>142.80000000000001</v>
      </c>
      <c r="I3643">
        <v>144</v>
      </c>
      <c r="J3643">
        <v>100</v>
      </c>
      <c r="K3643">
        <v>100</v>
      </c>
      <c r="L3643" s="1" t="s">
        <v>8522</v>
      </c>
      <c r="M3643" t="s">
        <v>8524</v>
      </c>
      <c r="N3643">
        <v>5</v>
      </c>
    </row>
    <row r="3644" spans="1:14" x14ac:dyDescent="0.25">
      <c r="A3644" s="3" t="str">
        <f>HYPERLINK("http://www.ncbi.nlm.nih.gov/gene/23451","23451")</f>
        <v>23451</v>
      </c>
      <c r="B3644" s="1" t="s">
        <v>8525</v>
      </c>
      <c r="C3644" t="s">
        <v>8526</v>
      </c>
      <c r="D3644">
        <v>152.1</v>
      </c>
      <c r="E3644">
        <v>158.19999999999999</v>
      </c>
      <c r="F3644">
        <v>99.7</v>
      </c>
      <c r="G3644">
        <v>98.6</v>
      </c>
      <c r="H3644">
        <v>133.5</v>
      </c>
      <c r="I3644">
        <v>137.6</v>
      </c>
      <c r="J3644">
        <v>100</v>
      </c>
      <c r="K3644">
        <v>100</v>
      </c>
      <c r="L3644" s="1" t="s">
        <v>8525</v>
      </c>
      <c r="M3644" t="s">
        <v>8527</v>
      </c>
      <c r="N3644">
        <v>2</v>
      </c>
    </row>
    <row r="3645" spans="1:14" x14ac:dyDescent="0.25">
      <c r="A3645" s="3" t="str">
        <f>HYPERLINK("http://www.ncbi.nlm.nih.gov/gene/10262","10262")</f>
        <v>10262</v>
      </c>
      <c r="B3645" s="1" t="s">
        <v>8528</v>
      </c>
      <c r="C3645" t="s">
        <v>8529</v>
      </c>
      <c r="D3645">
        <v>76.400000000000006</v>
      </c>
      <c r="E3645">
        <v>69.400000000000006</v>
      </c>
      <c r="F3645">
        <v>99.9</v>
      </c>
      <c r="G3645">
        <v>97.3</v>
      </c>
      <c r="H3645">
        <v>147</v>
      </c>
      <c r="I3645">
        <v>149.69999999999999</v>
      </c>
      <c r="J3645">
        <v>100</v>
      </c>
      <c r="K3645">
        <v>100</v>
      </c>
      <c r="L3645" s="1" t="s">
        <v>8528</v>
      </c>
      <c r="M3645" t="s">
        <v>8530</v>
      </c>
      <c r="N3645">
        <v>4</v>
      </c>
    </row>
    <row r="3646" spans="1:14" x14ac:dyDescent="0.25">
      <c r="A3646" s="3" t="str">
        <f>HYPERLINK("http://www.ncbi.nlm.nih.gov/gene/6424","6424")</f>
        <v>6424</v>
      </c>
      <c r="B3646" s="1" t="s">
        <v>8531</v>
      </c>
      <c r="C3646" t="s">
        <v>8532</v>
      </c>
      <c r="D3646">
        <v>125.2</v>
      </c>
      <c r="E3646">
        <v>127.4</v>
      </c>
      <c r="F3646">
        <v>100</v>
      </c>
      <c r="G3646">
        <v>99.8</v>
      </c>
      <c r="H3646">
        <v>158.69999999999999</v>
      </c>
      <c r="I3646">
        <v>161.4</v>
      </c>
      <c r="J3646">
        <v>100</v>
      </c>
      <c r="K3646">
        <v>100</v>
      </c>
      <c r="L3646" s="1" t="s">
        <v>8531</v>
      </c>
      <c r="M3646" t="s">
        <v>1168</v>
      </c>
      <c r="N3646">
        <v>3</v>
      </c>
    </row>
    <row r="3647" spans="1:14" x14ac:dyDescent="0.25">
      <c r="A3647" s="3" t="str">
        <f>HYPERLINK("http://www.ncbi.nlm.nih.gov/gene/653509","653509")</f>
        <v>653509</v>
      </c>
      <c r="B3647" s="1" t="s">
        <v>8533</v>
      </c>
      <c r="C3647" t="s">
        <v>8534</v>
      </c>
      <c r="D3647">
        <v>167.4</v>
      </c>
      <c r="E3647">
        <v>169.4</v>
      </c>
      <c r="F3647">
        <v>100</v>
      </c>
      <c r="G3647">
        <v>100</v>
      </c>
      <c r="H3647">
        <v>186.2</v>
      </c>
      <c r="I3647">
        <v>193.8</v>
      </c>
      <c r="J3647">
        <v>100</v>
      </c>
      <c r="K3647">
        <v>100</v>
      </c>
      <c r="L3647" s="1" t="s">
        <v>8533</v>
      </c>
      <c r="M3647" t="s">
        <v>19</v>
      </c>
      <c r="N3647">
        <v>2</v>
      </c>
    </row>
    <row r="3648" spans="1:14" x14ac:dyDescent="0.25">
      <c r="A3648" s="3" t="str">
        <f>HYPERLINK("http://www.ncbi.nlm.nih.gov/gene/729238","729238")</f>
        <v>729238</v>
      </c>
      <c r="B3648" s="1" t="s">
        <v>8535</v>
      </c>
      <c r="C3648" t="s">
        <v>8536</v>
      </c>
      <c r="D3648">
        <v>149.6</v>
      </c>
      <c r="E3648">
        <v>154.1</v>
      </c>
      <c r="F3648">
        <v>100</v>
      </c>
      <c r="G3648">
        <v>100</v>
      </c>
      <c r="H3648">
        <v>175.6</v>
      </c>
      <c r="I3648">
        <v>182.6</v>
      </c>
      <c r="J3648">
        <v>100</v>
      </c>
      <c r="K3648">
        <v>100</v>
      </c>
      <c r="L3648" s="1" t="s">
        <v>8535</v>
      </c>
      <c r="M3648" t="s">
        <v>19</v>
      </c>
      <c r="N3648">
        <v>2</v>
      </c>
    </row>
    <row r="3649" spans="1:14" x14ac:dyDescent="0.25">
      <c r="A3649" s="3" t="str">
        <f>HYPERLINK("http://www.ncbi.nlm.nih.gov/gene/6439","6439")</f>
        <v>6439</v>
      </c>
      <c r="B3649" s="1" t="s">
        <v>8537</v>
      </c>
      <c r="C3649" t="s">
        <v>8538</v>
      </c>
      <c r="D3649">
        <v>87.1</v>
      </c>
      <c r="E3649">
        <v>88.6</v>
      </c>
      <c r="F3649">
        <v>99.4</v>
      </c>
      <c r="G3649">
        <v>96.7</v>
      </c>
      <c r="H3649">
        <v>131.4</v>
      </c>
      <c r="I3649">
        <v>134.6</v>
      </c>
      <c r="J3649">
        <v>100</v>
      </c>
      <c r="K3649">
        <v>100</v>
      </c>
      <c r="L3649" s="1" t="s">
        <v>8537</v>
      </c>
      <c r="M3649" t="s">
        <v>53</v>
      </c>
      <c r="N3649">
        <v>2</v>
      </c>
    </row>
    <row r="3650" spans="1:14" x14ac:dyDescent="0.25">
      <c r="A3650" s="3" t="str">
        <f>HYPERLINK("http://www.ncbi.nlm.nih.gov/gene/6440","6440")</f>
        <v>6440</v>
      </c>
      <c r="B3650" s="1" t="s">
        <v>8539</v>
      </c>
      <c r="C3650" t="s">
        <v>8540</v>
      </c>
      <c r="D3650">
        <v>100.9</v>
      </c>
      <c r="E3650">
        <v>104.3</v>
      </c>
      <c r="F3650">
        <v>99.2</v>
      </c>
      <c r="G3650">
        <v>95.7</v>
      </c>
      <c r="H3650">
        <v>148.1</v>
      </c>
      <c r="I3650">
        <v>151.9</v>
      </c>
      <c r="J3650">
        <v>100</v>
      </c>
      <c r="K3650">
        <v>100</v>
      </c>
      <c r="L3650" s="1" t="s">
        <v>8539</v>
      </c>
      <c r="M3650" t="s">
        <v>285</v>
      </c>
      <c r="N3650">
        <v>1</v>
      </c>
    </row>
    <row r="3651" spans="1:14" x14ac:dyDescent="0.25">
      <c r="A3651" s="3" t="str">
        <f>HYPERLINK("http://www.ncbi.nlm.nih.gov/gene/119559","119559")</f>
        <v>119559</v>
      </c>
      <c r="B3651" s="1" t="s">
        <v>8541</v>
      </c>
      <c r="C3651" t="s">
        <v>8542</v>
      </c>
      <c r="D3651">
        <v>126.5</v>
      </c>
      <c r="E3651">
        <v>128.80000000000001</v>
      </c>
      <c r="F3651">
        <v>99.9</v>
      </c>
      <c r="G3651">
        <v>98.9</v>
      </c>
      <c r="H3651">
        <v>117</v>
      </c>
      <c r="I3651">
        <v>119.5</v>
      </c>
      <c r="J3651">
        <v>100</v>
      </c>
      <c r="K3651">
        <v>100</v>
      </c>
      <c r="L3651" s="1" t="s">
        <v>8541</v>
      </c>
      <c r="M3651" t="s">
        <v>8543</v>
      </c>
      <c r="N3651">
        <v>4</v>
      </c>
    </row>
    <row r="3652" spans="1:14" x14ac:dyDescent="0.25">
      <c r="A3652" s="3" t="str">
        <f>HYPERLINK("http://www.ncbi.nlm.nih.gov/gene/6442","6442")</f>
        <v>6442</v>
      </c>
      <c r="B3652" s="1" t="s">
        <v>8544</v>
      </c>
      <c r="C3652" t="s">
        <v>8545</v>
      </c>
      <c r="D3652">
        <v>155</v>
      </c>
      <c r="E3652">
        <v>159.4</v>
      </c>
      <c r="F3652">
        <v>100</v>
      </c>
      <c r="G3652">
        <v>99.9</v>
      </c>
      <c r="H3652">
        <v>168.4</v>
      </c>
      <c r="I3652">
        <v>173.6</v>
      </c>
      <c r="J3652">
        <v>100</v>
      </c>
      <c r="K3652">
        <v>100</v>
      </c>
      <c r="L3652" s="1" t="s">
        <v>8544</v>
      </c>
      <c r="M3652" t="s">
        <v>8546</v>
      </c>
      <c r="N3652">
        <v>4</v>
      </c>
    </row>
    <row r="3653" spans="1:14" x14ac:dyDescent="0.25">
      <c r="A3653" s="3" t="str">
        <f>HYPERLINK("http://www.ncbi.nlm.nih.gov/gene/6443","6443")</f>
        <v>6443</v>
      </c>
      <c r="B3653" s="1" t="s">
        <v>8547</v>
      </c>
      <c r="C3653" t="s">
        <v>8548</v>
      </c>
      <c r="D3653">
        <v>176.8</v>
      </c>
      <c r="E3653">
        <v>184.2</v>
      </c>
      <c r="F3653">
        <v>97.7</v>
      </c>
      <c r="G3653">
        <v>96.5</v>
      </c>
      <c r="H3653">
        <v>137.80000000000001</v>
      </c>
      <c r="I3653">
        <v>142.4</v>
      </c>
      <c r="J3653">
        <v>100</v>
      </c>
      <c r="K3653">
        <v>100</v>
      </c>
      <c r="L3653" s="1" t="s">
        <v>8547</v>
      </c>
      <c r="M3653" t="s">
        <v>8546</v>
      </c>
      <c r="N3653">
        <v>4</v>
      </c>
    </row>
    <row r="3654" spans="1:14" x14ac:dyDescent="0.25">
      <c r="A3654" s="3" t="str">
        <f>HYPERLINK("http://www.ncbi.nlm.nih.gov/gene/6444","6444")</f>
        <v>6444</v>
      </c>
      <c r="B3654" s="1" t="s">
        <v>8549</v>
      </c>
      <c r="C3654" t="s">
        <v>8550</v>
      </c>
      <c r="D3654">
        <v>86</v>
      </c>
      <c r="E3654">
        <v>88.5</v>
      </c>
      <c r="F3654">
        <v>100</v>
      </c>
      <c r="G3654">
        <v>98.9</v>
      </c>
      <c r="H3654">
        <v>129.9</v>
      </c>
      <c r="I3654">
        <v>133.4</v>
      </c>
      <c r="J3654">
        <v>100</v>
      </c>
      <c r="K3654">
        <v>100</v>
      </c>
      <c r="L3654" s="1" t="s">
        <v>8549</v>
      </c>
      <c r="M3654" t="s">
        <v>8546</v>
      </c>
      <c r="N3654">
        <v>4</v>
      </c>
    </row>
    <row r="3655" spans="1:14" x14ac:dyDescent="0.25">
      <c r="A3655" s="3" t="str">
        <f>HYPERLINK("http://www.ncbi.nlm.nih.gov/gene/8910","8910")</f>
        <v>8910</v>
      </c>
      <c r="B3655" s="1" t="s">
        <v>8551</v>
      </c>
      <c r="C3655" t="s">
        <v>8552</v>
      </c>
      <c r="D3655">
        <v>101</v>
      </c>
      <c r="E3655">
        <v>105.4</v>
      </c>
      <c r="F3655">
        <v>90.4</v>
      </c>
      <c r="G3655">
        <v>85</v>
      </c>
      <c r="H3655">
        <v>126.6</v>
      </c>
      <c r="I3655">
        <v>130</v>
      </c>
      <c r="J3655">
        <v>91.2</v>
      </c>
      <c r="K3655">
        <v>91.2</v>
      </c>
      <c r="L3655" s="1" t="s">
        <v>8551</v>
      </c>
      <c r="M3655" t="s">
        <v>600</v>
      </c>
      <c r="N3655">
        <v>2</v>
      </c>
    </row>
    <row r="3656" spans="1:14" x14ac:dyDescent="0.25">
      <c r="A3656" s="3" t="str">
        <f>HYPERLINK("http://www.ncbi.nlm.nih.gov/gene/6445","6445")</f>
        <v>6445</v>
      </c>
      <c r="B3656" s="1" t="s">
        <v>8553</v>
      </c>
      <c r="C3656" t="s">
        <v>8554</v>
      </c>
      <c r="D3656">
        <v>134.1</v>
      </c>
      <c r="E3656">
        <v>137.6</v>
      </c>
      <c r="F3656">
        <v>100</v>
      </c>
      <c r="G3656">
        <v>99.2</v>
      </c>
      <c r="H3656">
        <v>121</v>
      </c>
      <c r="I3656">
        <v>124.7</v>
      </c>
      <c r="J3656">
        <v>100</v>
      </c>
      <c r="K3656">
        <v>100</v>
      </c>
      <c r="L3656" s="1" t="s">
        <v>8553</v>
      </c>
      <c r="M3656" t="s">
        <v>8546</v>
      </c>
      <c r="N3656">
        <v>4</v>
      </c>
    </row>
    <row r="3657" spans="1:14" x14ac:dyDescent="0.25">
      <c r="A3657" s="3" t="str">
        <f>HYPERLINK("http://www.ncbi.nlm.nih.gov/gene/166929","166929")</f>
        <v>166929</v>
      </c>
      <c r="B3657" s="1" t="s">
        <v>8555</v>
      </c>
      <c r="C3657" t="s">
        <v>8556</v>
      </c>
      <c r="D3657">
        <v>180.3</v>
      </c>
      <c r="E3657">
        <v>186.4</v>
      </c>
      <c r="F3657">
        <v>100</v>
      </c>
      <c r="G3657">
        <v>100</v>
      </c>
      <c r="H3657">
        <v>151.9</v>
      </c>
      <c r="I3657">
        <v>156.69999999999999</v>
      </c>
      <c r="J3657">
        <v>100</v>
      </c>
      <c r="K3657">
        <v>100</v>
      </c>
      <c r="L3657" s="1" t="s">
        <v>8555</v>
      </c>
      <c r="M3657" t="s">
        <v>1253</v>
      </c>
      <c r="N3657">
        <v>2</v>
      </c>
    </row>
    <row r="3658" spans="1:14" x14ac:dyDescent="0.25">
      <c r="A3658" s="3" t="str">
        <f>HYPERLINK("http://www.ncbi.nlm.nih.gov/gene/151648","151648")</f>
        <v>151648</v>
      </c>
      <c r="B3658" s="1" t="s">
        <v>8557</v>
      </c>
      <c r="C3658" t="s">
        <v>8558</v>
      </c>
      <c r="D3658">
        <v>132</v>
      </c>
      <c r="E3658">
        <v>137.6</v>
      </c>
      <c r="F3658">
        <v>99.9</v>
      </c>
      <c r="G3658">
        <v>98.9</v>
      </c>
      <c r="H3658">
        <v>130.9</v>
      </c>
      <c r="I3658">
        <v>133.5</v>
      </c>
      <c r="J3658">
        <v>100</v>
      </c>
      <c r="K3658">
        <v>100</v>
      </c>
      <c r="L3658" s="1" t="s">
        <v>8557</v>
      </c>
      <c r="M3658" t="s">
        <v>65</v>
      </c>
      <c r="N3658">
        <v>3</v>
      </c>
    </row>
    <row r="3659" spans="1:14" x14ac:dyDescent="0.25">
      <c r="A3659" s="3" t="str">
        <f>HYPERLINK("http://www.ncbi.nlm.nih.gov/gene/8879","8879")</f>
        <v>8879</v>
      </c>
      <c r="B3659" s="1" t="s">
        <v>8559</v>
      </c>
      <c r="C3659" t="s">
        <v>8560</v>
      </c>
      <c r="D3659">
        <v>156.4</v>
      </c>
      <c r="E3659">
        <v>159.80000000000001</v>
      </c>
      <c r="F3659">
        <v>100</v>
      </c>
      <c r="G3659">
        <v>100</v>
      </c>
      <c r="H3659">
        <v>137.80000000000001</v>
      </c>
      <c r="I3659">
        <v>141.9</v>
      </c>
      <c r="J3659">
        <v>100</v>
      </c>
      <c r="K3659">
        <v>100</v>
      </c>
      <c r="L3659" s="1" t="s">
        <v>8559</v>
      </c>
      <c r="M3659" t="s">
        <v>8561</v>
      </c>
      <c r="N3659">
        <v>7</v>
      </c>
    </row>
    <row r="3660" spans="1:14" x14ac:dyDescent="0.25">
      <c r="A3660" s="3" t="str">
        <f>HYPERLINK("http://www.ncbi.nlm.nih.gov/gene/6448","6448")</f>
        <v>6448</v>
      </c>
      <c r="B3660" s="1" t="s">
        <v>8562</v>
      </c>
      <c r="C3660" t="s">
        <v>8563</v>
      </c>
      <c r="D3660">
        <v>141</v>
      </c>
      <c r="E3660">
        <v>149.1</v>
      </c>
      <c r="F3660">
        <v>94.4</v>
      </c>
      <c r="G3660">
        <v>94.1</v>
      </c>
      <c r="H3660">
        <v>153.19999999999999</v>
      </c>
      <c r="I3660">
        <v>156.1</v>
      </c>
      <c r="J3660">
        <v>100</v>
      </c>
      <c r="K3660">
        <v>100</v>
      </c>
      <c r="L3660" s="1" t="s">
        <v>8562</v>
      </c>
      <c r="M3660" t="s">
        <v>4097</v>
      </c>
      <c r="N3660">
        <v>6</v>
      </c>
    </row>
    <row r="3661" spans="1:14" x14ac:dyDescent="0.25">
      <c r="A3661" s="3" t="str">
        <f>HYPERLINK("http://www.ncbi.nlm.nih.gov/gene/10019","10019")</f>
        <v>10019</v>
      </c>
      <c r="B3661" s="1" t="s">
        <v>8564</v>
      </c>
      <c r="C3661" t="s">
        <v>8565</v>
      </c>
      <c r="D3661">
        <v>112.5</v>
      </c>
      <c r="E3661">
        <v>106.6</v>
      </c>
      <c r="F3661">
        <v>99.4</v>
      </c>
      <c r="G3661">
        <v>95.1</v>
      </c>
      <c r="H3661">
        <v>128.9</v>
      </c>
      <c r="I3661">
        <v>132</v>
      </c>
      <c r="J3661">
        <v>100</v>
      </c>
      <c r="K3661">
        <v>99.9</v>
      </c>
      <c r="L3661" s="1" t="s">
        <v>8564</v>
      </c>
      <c r="M3661" t="s">
        <v>8566</v>
      </c>
      <c r="N3661">
        <v>5</v>
      </c>
    </row>
    <row r="3662" spans="1:14" x14ac:dyDescent="0.25">
      <c r="A3662" s="3" t="str">
        <f>HYPERLINK("http://www.ncbi.nlm.nih.gov/gene/4068","4068")</f>
        <v>4068</v>
      </c>
      <c r="B3662" s="1" t="s">
        <v>8567</v>
      </c>
      <c r="C3662" t="s">
        <v>8568</v>
      </c>
      <c r="D3662">
        <v>117.3</v>
      </c>
      <c r="E3662">
        <v>122.6</v>
      </c>
      <c r="F3662">
        <v>97.2</v>
      </c>
      <c r="G3662">
        <v>94</v>
      </c>
      <c r="H3662">
        <v>101.8</v>
      </c>
      <c r="I3662">
        <v>104.2</v>
      </c>
      <c r="J3662">
        <v>100</v>
      </c>
      <c r="K3662">
        <v>100</v>
      </c>
      <c r="L3662" s="1" t="s">
        <v>8567</v>
      </c>
      <c r="M3662" t="s">
        <v>8569</v>
      </c>
      <c r="N3662">
        <v>4</v>
      </c>
    </row>
    <row r="3663" spans="1:14" x14ac:dyDescent="0.25">
      <c r="A3663" s="3" t="str">
        <f>HYPERLINK("http://www.ncbi.nlm.nih.gov/gene/6452","6452")</f>
        <v>6452</v>
      </c>
      <c r="B3663" s="1" t="s">
        <v>8570</v>
      </c>
      <c r="C3663" t="s">
        <v>8571</v>
      </c>
      <c r="D3663">
        <v>154.19999999999999</v>
      </c>
      <c r="E3663">
        <v>152.80000000000001</v>
      </c>
      <c r="F3663">
        <v>91.4</v>
      </c>
      <c r="G3663">
        <v>91.2</v>
      </c>
      <c r="H3663">
        <v>129.19999999999999</v>
      </c>
      <c r="I3663">
        <v>131</v>
      </c>
      <c r="J3663">
        <v>97</v>
      </c>
      <c r="K3663">
        <v>95.3</v>
      </c>
      <c r="L3663" s="1" t="s">
        <v>8570</v>
      </c>
      <c r="M3663" t="s">
        <v>8572</v>
      </c>
      <c r="N3663">
        <v>4</v>
      </c>
    </row>
    <row r="3664" spans="1:14" x14ac:dyDescent="0.25">
      <c r="A3664" s="3" t="str">
        <f>HYPERLINK("http://www.ncbi.nlm.nih.gov/gene/30011","30011")</f>
        <v>30011</v>
      </c>
      <c r="B3664" s="1" t="s">
        <v>8573</v>
      </c>
      <c r="C3664" t="s">
        <v>8574</v>
      </c>
      <c r="D3664">
        <v>102.3</v>
      </c>
      <c r="E3664">
        <v>106.6</v>
      </c>
      <c r="F3664">
        <v>99.7</v>
      </c>
      <c r="G3664">
        <v>95.9</v>
      </c>
      <c r="H3664">
        <v>126</v>
      </c>
      <c r="I3664">
        <v>129.30000000000001</v>
      </c>
      <c r="J3664">
        <v>100</v>
      </c>
      <c r="K3664">
        <v>100</v>
      </c>
      <c r="L3664" s="1" t="s">
        <v>8573</v>
      </c>
      <c r="M3664" t="s">
        <v>6033</v>
      </c>
      <c r="N3664">
        <v>2</v>
      </c>
    </row>
    <row r="3665" spans="1:14" x14ac:dyDescent="0.25">
      <c r="A3665" s="3" t="str">
        <f>HYPERLINK("http://www.ncbi.nlm.nih.gov/gene/285590","285590")</f>
        <v>285590</v>
      </c>
      <c r="B3665" s="1" t="s">
        <v>8575</v>
      </c>
      <c r="C3665" t="s">
        <v>8576</v>
      </c>
      <c r="D3665">
        <v>184.6</v>
      </c>
      <c r="E3665">
        <v>179.7</v>
      </c>
      <c r="F3665">
        <v>100</v>
      </c>
      <c r="G3665">
        <v>100</v>
      </c>
      <c r="H3665">
        <v>134.19999999999999</v>
      </c>
      <c r="I3665">
        <v>135.9</v>
      </c>
      <c r="J3665">
        <v>100</v>
      </c>
      <c r="K3665">
        <v>100</v>
      </c>
      <c r="L3665" s="1" t="s">
        <v>8575</v>
      </c>
      <c r="M3665" t="s">
        <v>1168</v>
      </c>
      <c r="N3665">
        <v>3</v>
      </c>
    </row>
    <row r="3666" spans="1:14" x14ac:dyDescent="0.25">
      <c r="A3666" s="3" t="str">
        <f>HYPERLINK("http://www.ncbi.nlm.nih.gov/gene/79628","79628")</f>
        <v>79628</v>
      </c>
      <c r="B3666" s="1" t="s">
        <v>8577</v>
      </c>
      <c r="C3666" t="s">
        <v>8578</v>
      </c>
      <c r="D3666">
        <v>107.5</v>
      </c>
      <c r="E3666">
        <v>107.9</v>
      </c>
      <c r="F3666">
        <v>100</v>
      </c>
      <c r="G3666">
        <v>99.7</v>
      </c>
      <c r="H3666">
        <v>148.9</v>
      </c>
      <c r="I3666">
        <v>151.5</v>
      </c>
      <c r="J3666">
        <v>100</v>
      </c>
      <c r="K3666">
        <v>100</v>
      </c>
      <c r="L3666" s="1" t="s">
        <v>8577</v>
      </c>
      <c r="M3666" t="s">
        <v>5525</v>
      </c>
      <c r="N3666">
        <v>3</v>
      </c>
    </row>
    <row r="3667" spans="1:14" x14ac:dyDescent="0.25">
      <c r="A3667" s="3" t="str">
        <f>HYPERLINK("http://www.ncbi.nlm.nih.gov/gene/22941","22941")</f>
        <v>22941</v>
      </c>
      <c r="B3667" s="1" t="s">
        <v>8579</v>
      </c>
      <c r="C3667" t="s">
        <v>8580</v>
      </c>
      <c r="D3667">
        <v>162.80000000000001</v>
      </c>
      <c r="E3667">
        <v>157.80000000000001</v>
      </c>
      <c r="F3667">
        <v>97.7</v>
      </c>
      <c r="G3667">
        <v>97.6</v>
      </c>
      <c r="H3667">
        <v>136.1</v>
      </c>
      <c r="I3667">
        <v>137</v>
      </c>
      <c r="J3667">
        <v>98.9</v>
      </c>
      <c r="K3667">
        <v>98.9</v>
      </c>
      <c r="L3667" s="1" t="s">
        <v>8579</v>
      </c>
      <c r="M3667" t="s">
        <v>189</v>
      </c>
      <c r="N3667">
        <v>2</v>
      </c>
    </row>
    <row r="3668" spans="1:14" x14ac:dyDescent="0.25">
      <c r="A3668" s="3" t="str">
        <f>HYPERLINK("http://www.ncbi.nlm.nih.gov/gene/85358","85358")</f>
        <v>85358</v>
      </c>
      <c r="B3668" s="1" t="s">
        <v>8581</v>
      </c>
      <c r="C3668" t="s">
        <v>8582</v>
      </c>
      <c r="D3668">
        <v>109.2</v>
      </c>
      <c r="E3668">
        <v>110.5</v>
      </c>
      <c r="F3668">
        <v>91.6</v>
      </c>
      <c r="G3668">
        <v>81.5</v>
      </c>
      <c r="H3668">
        <v>113.1</v>
      </c>
      <c r="I3668">
        <v>124.2</v>
      </c>
      <c r="J3668">
        <v>96</v>
      </c>
      <c r="K3668">
        <v>91.9</v>
      </c>
      <c r="L3668" s="1" t="s">
        <v>8581</v>
      </c>
      <c r="M3668" t="s">
        <v>995</v>
      </c>
      <c r="N3668">
        <v>3</v>
      </c>
    </row>
    <row r="3669" spans="1:14" x14ac:dyDescent="0.25">
      <c r="A3669" s="3" t="str">
        <f>HYPERLINK("http://www.ncbi.nlm.nih.gov/gene/6469","6469")</f>
        <v>6469</v>
      </c>
      <c r="B3669" s="1" t="s">
        <v>8583</v>
      </c>
      <c r="C3669" t="s">
        <v>8584</v>
      </c>
      <c r="D3669">
        <v>124</v>
      </c>
      <c r="E3669">
        <v>128.69999999999999</v>
      </c>
      <c r="F3669">
        <v>100</v>
      </c>
      <c r="G3669">
        <v>99.5</v>
      </c>
      <c r="H3669">
        <v>149.30000000000001</v>
      </c>
      <c r="I3669">
        <v>143.69999999999999</v>
      </c>
      <c r="J3669">
        <v>100</v>
      </c>
      <c r="K3669">
        <v>100</v>
      </c>
      <c r="L3669" s="1" t="s">
        <v>8583</v>
      </c>
      <c r="M3669" t="s">
        <v>8585</v>
      </c>
      <c r="N3669">
        <v>6</v>
      </c>
    </row>
    <row r="3670" spans="1:14" x14ac:dyDescent="0.25">
      <c r="A3670" s="3" t="str">
        <f>HYPERLINK("http://www.ncbi.nlm.nih.gov/gene/8036","8036")</f>
        <v>8036</v>
      </c>
      <c r="B3670" s="1" t="s">
        <v>8586</v>
      </c>
      <c r="C3670" t="s">
        <v>8587</v>
      </c>
      <c r="D3670">
        <v>158.80000000000001</v>
      </c>
      <c r="E3670">
        <v>164.2</v>
      </c>
      <c r="F3670">
        <v>99.9</v>
      </c>
      <c r="G3670">
        <v>99.4</v>
      </c>
      <c r="H3670">
        <v>126.1</v>
      </c>
      <c r="I3670">
        <v>129.80000000000001</v>
      </c>
      <c r="J3670">
        <v>100</v>
      </c>
      <c r="K3670">
        <v>100</v>
      </c>
      <c r="L3670" s="1" t="s">
        <v>8586</v>
      </c>
      <c r="M3670" t="s">
        <v>8588</v>
      </c>
      <c r="N3670">
        <v>7</v>
      </c>
    </row>
    <row r="3671" spans="1:14" x14ac:dyDescent="0.25">
      <c r="A3671" s="3" t="str">
        <f>HYPERLINK("http://www.ncbi.nlm.nih.gov/gene/6473","6473")</f>
        <v>6473</v>
      </c>
      <c r="B3671" s="1" t="s">
        <v>8589</v>
      </c>
      <c r="C3671" t="s">
        <v>8590</v>
      </c>
      <c r="D3671">
        <v>30.6</v>
      </c>
      <c r="E3671">
        <v>31.8</v>
      </c>
      <c r="F3671">
        <v>70</v>
      </c>
      <c r="G3671">
        <v>59.7</v>
      </c>
      <c r="H3671">
        <v>100.6</v>
      </c>
      <c r="I3671">
        <v>103.8</v>
      </c>
      <c r="J3671">
        <v>95.1</v>
      </c>
      <c r="K3671">
        <v>95.1</v>
      </c>
      <c r="L3671" s="1" t="s">
        <v>8589</v>
      </c>
      <c r="M3671" t="s">
        <v>8591</v>
      </c>
      <c r="N3671">
        <v>2</v>
      </c>
    </row>
    <row r="3672" spans="1:14" x14ac:dyDescent="0.25">
      <c r="A3672" s="3" t="str">
        <f>HYPERLINK("http://www.ncbi.nlm.nih.gov/gene/57619","57619")</f>
        <v>57619</v>
      </c>
      <c r="B3672" s="1" t="s">
        <v>8592</v>
      </c>
      <c r="C3672" t="s">
        <v>8593</v>
      </c>
      <c r="D3672">
        <v>159.4</v>
      </c>
      <c r="E3672">
        <v>156</v>
      </c>
      <c r="F3672">
        <v>98.6</v>
      </c>
      <c r="G3672">
        <v>97.8</v>
      </c>
      <c r="H3672">
        <v>150.30000000000001</v>
      </c>
      <c r="I3672">
        <v>151.9</v>
      </c>
      <c r="J3672">
        <v>100</v>
      </c>
      <c r="K3672">
        <v>100</v>
      </c>
      <c r="L3672" s="1" t="s">
        <v>8592</v>
      </c>
      <c r="M3672" t="s">
        <v>8594</v>
      </c>
      <c r="N3672">
        <v>3</v>
      </c>
    </row>
    <row r="3673" spans="1:14" x14ac:dyDescent="0.25">
      <c r="A3673" s="3" t="str">
        <f>HYPERLINK("http://www.ncbi.nlm.nih.gov/gene/57477","57477")</f>
        <v>57477</v>
      </c>
      <c r="B3673" s="1" t="s">
        <v>8595</v>
      </c>
      <c r="C3673" t="s">
        <v>8596</v>
      </c>
      <c r="D3673">
        <v>112.7</v>
      </c>
      <c r="E3673">
        <v>103.4</v>
      </c>
      <c r="F3673">
        <v>100</v>
      </c>
      <c r="G3673">
        <v>99</v>
      </c>
      <c r="H3673">
        <v>152.30000000000001</v>
      </c>
      <c r="I3673">
        <v>152.30000000000001</v>
      </c>
      <c r="J3673">
        <v>100</v>
      </c>
      <c r="K3673">
        <v>100</v>
      </c>
      <c r="L3673" s="1" t="s">
        <v>8595</v>
      </c>
      <c r="M3673" t="s">
        <v>728</v>
      </c>
      <c r="N3673">
        <v>2</v>
      </c>
    </row>
    <row r="3674" spans="1:14" x14ac:dyDescent="0.25">
      <c r="A3674" s="3" t="str">
        <f>HYPERLINK("http://www.ncbi.nlm.nih.gov/gene/6476","6476")</f>
        <v>6476</v>
      </c>
      <c r="B3674" s="1" t="s">
        <v>8597</v>
      </c>
      <c r="D3674">
        <v>141.69999999999999</v>
      </c>
      <c r="E3674">
        <v>146.19999999999999</v>
      </c>
      <c r="F3674">
        <v>99.2</v>
      </c>
      <c r="G3674">
        <v>96.1</v>
      </c>
      <c r="H3674">
        <v>127.1</v>
      </c>
      <c r="I3674">
        <v>130.69999999999999</v>
      </c>
      <c r="J3674">
        <v>100</v>
      </c>
      <c r="K3674">
        <v>100</v>
      </c>
      <c r="L3674" s="1" t="s">
        <v>8597</v>
      </c>
      <c r="M3674" t="s">
        <v>116</v>
      </c>
      <c r="N3674">
        <v>3</v>
      </c>
    </row>
    <row r="3675" spans="1:14" x14ac:dyDescent="0.25">
      <c r="A3675" s="3" t="str">
        <f>HYPERLINK("http://www.ncbi.nlm.nih.gov/gene/6477","6477")</f>
        <v>6477</v>
      </c>
      <c r="B3675" s="1" t="s">
        <v>8598</v>
      </c>
      <c r="C3675" t="s">
        <v>8599</v>
      </c>
      <c r="D3675">
        <v>171.4</v>
      </c>
      <c r="E3675">
        <v>164.3</v>
      </c>
      <c r="F3675">
        <v>100</v>
      </c>
      <c r="G3675">
        <v>100</v>
      </c>
      <c r="H3675">
        <v>151</v>
      </c>
      <c r="I3675">
        <v>154.6</v>
      </c>
      <c r="J3675">
        <v>100</v>
      </c>
      <c r="K3675">
        <v>100</v>
      </c>
      <c r="L3675" s="1" t="s">
        <v>8598</v>
      </c>
      <c r="M3675" t="s">
        <v>189</v>
      </c>
      <c r="N3675">
        <v>2</v>
      </c>
    </row>
    <row r="3676" spans="1:14" x14ac:dyDescent="0.25">
      <c r="A3676" s="3" t="str">
        <f>HYPERLINK("http://www.ncbi.nlm.nih.gov/gene/27036","27036")</f>
        <v>27036</v>
      </c>
      <c r="B3676" s="1" t="s">
        <v>8600</v>
      </c>
      <c r="C3676" t="s">
        <v>8601</v>
      </c>
      <c r="D3676">
        <v>122.7</v>
      </c>
      <c r="E3676">
        <v>120.2</v>
      </c>
      <c r="F3676">
        <v>100</v>
      </c>
      <c r="G3676">
        <v>99.8</v>
      </c>
      <c r="H3676">
        <v>181.4</v>
      </c>
      <c r="I3676">
        <v>189.6</v>
      </c>
      <c r="J3676">
        <v>100</v>
      </c>
      <c r="K3676">
        <v>100</v>
      </c>
      <c r="L3676" s="1" t="s">
        <v>8600</v>
      </c>
      <c r="M3676" t="s">
        <v>661</v>
      </c>
      <c r="N3676">
        <v>2</v>
      </c>
    </row>
    <row r="3677" spans="1:14" x14ac:dyDescent="0.25">
      <c r="A3677" s="3" t="str">
        <f>HYPERLINK("http://www.ncbi.nlm.nih.gov/gene/10280","10280")</f>
        <v>10280</v>
      </c>
      <c r="B3677" s="1" t="s">
        <v>8602</v>
      </c>
      <c r="C3677" t="s">
        <v>8603</v>
      </c>
      <c r="D3677">
        <v>129</v>
      </c>
      <c r="E3677">
        <v>134.5</v>
      </c>
      <c r="F3677">
        <v>100</v>
      </c>
      <c r="G3677">
        <v>100</v>
      </c>
      <c r="H3677">
        <v>178.9</v>
      </c>
      <c r="I3677">
        <v>182.6</v>
      </c>
      <c r="J3677">
        <v>100</v>
      </c>
      <c r="K3677">
        <v>100</v>
      </c>
      <c r="L3677" s="1" t="s">
        <v>8602</v>
      </c>
      <c r="M3677" t="s">
        <v>8604</v>
      </c>
      <c r="N3677">
        <v>4</v>
      </c>
    </row>
    <row r="3678" spans="1:14" x14ac:dyDescent="0.25">
      <c r="A3678" s="3" t="str">
        <f>HYPERLINK("http://www.ncbi.nlm.nih.gov/gene/150094","150094")</f>
        <v>150094</v>
      </c>
      <c r="B3678" s="1" t="s">
        <v>8605</v>
      </c>
      <c r="C3678" t="s">
        <v>8606</v>
      </c>
      <c r="D3678">
        <v>113.9</v>
      </c>
      <c r="E3678">
        <v>115.7</v>
      </c>
      <c r="F3678">
        <v>98.7</v>
      </c>
      <c r="G3678">
        <v>94.4</v>
      </c>
      <c r="H3678">
        <v>212.8</v>
      </c>
      <c r="I3678">
        <v>217.8</v>
      </c>
      <c r="J3678">
        <v>100</v>
      </c>
      <c r="K3678">
        <v>100</v>
      </c>
      <c r="L3678" s="1" t="s">
        <v>8605</v>
      </c>
      <c r="M3678" t="s">
        <v>995</v>
      </c>
      <c r="N3678">
        <v>3</v>
      </c>
    </row>
    <row r="3679" spans="1:14" x14ac:dyDescent="0.25">
      <c r="A3679" s="3" t="str">
        <f>HYPERLINK("http://www.ncbi.nlm.nih.gov/gene/23387","23387")</f>
        <v>23387</v>
      </c>
      <c r="B3679" s="1" t="s">
        <v>8607</v>
      </c>
      <c r="C3679" t="s">
        <v>8608</v>
      </c>
      <c r="D3679">
        <v>106.8</v>
      </c>
      <c r="E3679">
        <v>106.8</v>
      </c>
      <c r="F3679">
        <v>99.8</v>
      </c>
      <c r="G3679">
        <v>98.7</v>
      </c>
      <c r="H3679">
        <v>136.30000000000001</v>
      </c>
      <c r="I3679">
        <v>139.80000000000001</v>
      </c>
      <c r="J3679">
        <v>99.3</v>
      </c>
      <c r="K3679">
        <v>98.1</v>
      </c>
      <c r="L3679" s="1" t="s">
        <v>8607</v>
      </c>
      <c r="M3679" t="s">
        <v>53</v>
      </c>
      <c r="N3679">
        <v>2</v>
      </c>
    </row>
    <row r="3680" spans="1:14" x14ac:dyDescent="0.25">
      <c r="A3680" s="3" t="str">
        <f>HYPERLINK("http://www.ncbi.nlm.nih.gov/gene/64374","64374")</f>
        <v>64374</v>
      </c>
      <c r="B3680" s="1" t="s">
        <v>8609</v>
      </c>
      <c r="C3680" t="s">
        <v>8610</v>
      </c>
      <c r="D3680">
        <v>151.80000000000001</v>
      </c>
      <c r="E3680">
        <v>157.6</v>
      </c>
      <c r="F3680">
        <v>99.2</v>
      </c>
      <c r="G3680">
        <v>96.7</v>
      </c>
      <c r="H3680">
        <v>150.1</v>
      </c>
      <c r="I3680">
        <v>153.80000000000001</v>
      </c>
      <c r="J3680">
        <v>100</v>
      </c>
      <c r="K3680">
        <v>100</v>
      </c>
      <c r="L3680" s="1" t="s">
        <v>8609</v>
      </c>
      <c r="M3680" t="s">
        <v>288</v>
      </c>
      <c r="N3680">
        <v>4</v>
      </c>
    </row>
    <row r="3681" spans="1:14" x14ac:dyDescent="0.25">
      <c r="A3681" s="3" t="str">
        <f>HYPERLINK("http://www.ncbi.nlm.nih.gov/gene/25942","25942")</f>
        <v>25942</v>
      </c>
      <c r="B3681" s="1" t="s">
        <v>8611</v>
      </c>
      <c r="C3681" t="s">
        <v>8612</v>
      </c>
      <c r="D3681">
        <v>133.4</v>
      </c>
      <c r="E3681">
        <v>137.30000000000001</v>
      </c>
      <c r="F3681">
        <v>100</v>
      </c>
      <c r="G3681">
        <v>99</v>
      </c>
      <c r="H3681">
        <v>147.4</v>
      </c>
      <c r="I3681">
        <v>151.5</v>
      </c>
      <c r="J3681">
        <v>100</v>
      </c>
      <c r="K3681">
        <v>100</v>
      </c>
      <c r="L3681" s="1" t="s">
        <v>8611</v>
      </c>
      <c r="M3681" t="s">
        <v>189</v>
      </c>
      <c r="N3681">
        <v>2</v>
      </c>
    </row>
    <row r="3682" spans="1:14" x14ac:dyDescent="0.25">
      <c r="A3682" s="3" t="str">
        <f>HYPERLINK("http://www.ncbi.nlm.nih.gov/gene/23094","23094")</f>
        <v>23094</v>
      </c>
      <c r="B3682" s="1" t="s">
        <v>8613</v>
      </c>
      <c r="C3682" t="s">
        <v>8614</v>
      </c>
      <c r="D3682">
        <v>168.1</v>
      </c>
      <c r="E3682">
        <v>171.8</v>
      </c>
      <c r="F3682">
        <v>99.9</v>
      </c>
      <c r="G3682">
        <v>98.9</v>
      </c>
      <c r="H3682">
        <v>159.6</v>
      </c>
      <c r="I3682">
        <v>162</v>
      </c>
      <c r="J3682">
        <v>100</v>
      </c>
      <c r="K3682">
        <v>100</v>
      </c>
      <c r="L3682" s="1" t="s">
        <v>8613</v>
      </c>
      <c r="M3682" t="s">
        <v>817</v>
      </c>
      <c r="N3682">
        <v>2</v>
      </c>
    </row>
    <row r="3683" spans="1:14" x14ac:dyDescent="0.25">
      <c r="A3683" s="3" t="str">
        <f>HYPERLINK("http://www.ncbi.nlm.nih.gov/gene/6495","6495")</f>
        <v>6495</v>
      </c>
      <c r="B3683" s="1" t="s">
        <v>8615</v>
      </c>
      <c r="C3683" t="s">
        <v>8616</v>
      </c>
      <c r="D3683">
        <v>132.30000000000001</v>
      </c>
      <c r="E3683">
        <v>137</v>
      </c>
      <c r="F3683">
        <v>100</v>
      </c>
      <c r="G3683">
        <v>99.2</v>
      </c>
      <c r="H3683">
        <v>155.69999999999999</v>
      </c>
      <c r="I3683">
        <v>156.69999999999999</v>
      </c>
      <c r="J3683">
        <v>100</v>
      </c>
      <c r="K3683">
        <v>100</v>
      </c>
      <c r="L3683" s="1" t="s">
        <v>8615</v>
      </c>
      <c r="M3683" t="s">
        <v>8617</v>
      </c>
      <c r="N3683">
        <v>4</v>
      </c>
    </row>
    <row r="3684" spans="1:14" x14ac:dyDescent="0.25">
      <c r="A3684" s="3" t="str">
        <f>HYPERLINK("http://www.ncbi.nlm.nih.gov/gene/6496","6496")</f>
        <v>6496</v>
      </c>
      <c r="B3684" s="1" t="s">
        <v>8618</v>
      </c>
      <c r="C3684" t="s">
        <v>8619</v>
      </c>
      <c r="D3684">
        <v>141.6</v>
      </c>
      <c r="E3684">
        <v>154.30000000000001</v>
      </c>
      <c r="F3684">
        <v>99.9</v>
      </c>
      <c r="G3684">
        <v>98.6</v>
      </c>
      <c r="H3684">
        <v>142</v>
      </c>
      <c r="I3684">
        <v>153.4</v>
      </c>
      <c r="J3684">
        <v>100</v>
      </c>
      <c r="K3684">
        <v>100</v>
      </c>
      <c r="L3684" s="1" t="s">
        <v>8618</v>
      </c>
      <c r="M3684" t="s">
        <v>5778</v>
      </c>
      <c r="N3684">
        <v>4</v>
      </c>
    </row>
    <row r="3685" spans="1:14" x14ac:dyDescent="0.25">
      <c r="A3685" s="3" t="str">
        <f>HYPERLINK("http://www.ncbi.nlm.nih.gov/gene/147912","147912")</f>
        <v>147912</v>
      </c>
      <c r="B3685" s="1" t="s">
        <v>8620</v>
      </c>
      <c r="C3685" t="s">
        <v>8621</v>
      </c>
      <c r="D3685">
        <v>69</v>
      </c>
      <c r="E3685">
        <v>67</v>
      </c>
      <c r="F3685">
        <v>95.4</v>
      </c>
      <c r="G3685">
        <v>88.2</v>
      </c>
      <c r="H3685">
        <v>136.80000000000001</v>
      </c>
      <c r="I3685">
        <v>132.1</v>
      </c>
      <c r="J3685">
        <v>100</v>
      </c>
      <c r="K3685">
        <v>100</v>
      </c>
      <c r="L3685" s="1" t="s">
        <v>8620</v>
      </c>
      <c r="M3685" t="s">
        <v>8622</v>
      </c>
      <c r="N3685">
        <v>4</v>
      </c>
    </row>
    <row r="3686" spans="1:14" x14ac:dyDescent="0.25">
      <c r="A3686" s="3" t="str">
        <f>HYPERLINK("http://www.ncbi.nlm.nih.gov/gene/4990","4990")</f>
        <v>4990</v>
      </c>
      <c r="B3686" s="1" t="s">
        <v>8623</v>
      </c>
      <c r="C3686" t="s">
        <v>8624</v>
      </c>
      <c r="D3686">
        <v>265.10000000000002</v>
      </c>
      <c r="E3686">
        <v>263.60000000000002</v>
      </c>
      <c r="F3686">
        <v>100</v>
      </c>
      <c r="G3686">
        <v>100</v>
      </c>
      <c r="H3686">
        <v>129.5</v>
      </c>
      <c r="I3686">
        <v>131.4</v>
      </c>
      <c r="J3686">
        <v>100</v>
      </c>
      <c r="K3686">
        <v>100</v>
      </c>
      <c r="L3686" s="1" t="s">
        <v>8623</v>
      </c>
      <c r="M3686" t="s">
        <v>56</v>
      </c>
      <c r="N3686">
        <v>3</v>
      </c>
    </row>
    <row r="3687" spans="1:14" x14ac:dyDescent="0.25">
      <c r="A3687" s="3" t="str">
        <f>HYPERLINK("http://www.ncbi.nlm.nih.gov/gene/6497","6497")</f>
        <v>6497</v>
      </c>
      <c r="B3687" s="1" t="s">
        <v>8625</v>
      </c>
      <c r="C3687" t="s">
        <v>8626</v>
      </c>
      <c r="D3687">
        <v>107.5</v>
      </c>
      <c r="E3687">
        <v>101.8</v>
      </c>
      <c r="F3687">
        <v>99.3</v>
      </c>
      <c r="G3687">
        <v>94.9</v>
      </c>
      <c r="H3687">
        <v>111.4</v>
      </c>
      <c r="I3687">
        <v>114.1</v>
      </c>
      <c r="J3687">
        <v>100</v>
      </c>
      <c r="K3687">
        <v>99.4</v>
      </c>
      <c r="L3687" s="1" t="s">
        <v>8625</v>
      </c>
      <c r="M3687" t="s">
        <v>8627</v>
      </c>
      <c r="N3687">
        <v>8</v>
      </c>
    </row>
    <row r="3688" spans="1:14" x14ac:dyDescent="0.25">
      <c r="A3688" s="3" t="str">
        <f>HYPERLINK("http://www.ncbi.nlm.nih.gov/gene/6499","6499")</f>
        <v>6499</v>
      </c>
      <c r="B3688" s="1" t="s">
        <v>8628</v>
      </c>
      <c r="C3688" t="s">
        <v>8629</v>
      </c>
      <c r="D3688">
        <v>152.9</v>
      </c>
      <c r="E3688">
        <v>155.80000000000001</v>
      </c>
      <c r="F3688">
        <v>100</v>
      </c>
      <c r="G3688">
        <v>99.8</v>
      </c>
      <c r="H3688">
        <v>214.5</v>
      </c>
      <c r="I3688">
        <v>220</v>
      </c>
      <c r="J3688">
        <v>100</v>
      </c>
      <c r="K3688">
        <v>100</v>
      </c>
      <c r="L3688" s="1" t="s">
        <v>8628</v>
      </c>
      <c r="M3688" t="s">
        <v>225</v>
      </c>
      <c r="N3688">
        <v>4</v>
      </c>
    </row>
    <row r="3689" spans="1:14" x14ac:dyDescent="0.25">
      <c r="A3689" s="3" t="str">
        <f>HYPERLINK("http://www.ncbi.nlm.nih.gov/gene/6555","6555")</f>
        <v>6555</v>
      </c>
      <c r="B3689" s="1" t="s">
        <v>8630</v>
      </c>
      <c r="C3689" t="s">
        <v>8631</v>
      </c>
      <c r="D3689">
        <v>148.69999999999999</v>
      </c>
      <c r="E3689">
        <v>156.9</v>
      </c>
      <c r="F3689">
        <v>100</v>
      </c>
      <c r="G3689">
        <v>100</v>
      </c>
      <c r="H3689">
        <v>139.30000000000001</v>
      </c>
      <c r="I3689">
        <v>143.5</v>
      </c>
      <c r="J3689">
        <v>100</v>
      </c>
      <c r="K3689">
        <v>100</v>
      </c>
      <c r="L3689" s="1" t="s">
        <v>8630</v>
      </c>
      <c r="M3689" t="s">
        <v>53</v>
      </c>
      <c r="N3689">
        <v>2</v>
      </c>
    </row>
    <row r="3690" spans="1:14" x14ac:dyDescent="0.25">
      <c r="A3690" s="3" t="str">
        <f>HYPERLINK("http://www.ncbi.nlm.nih.gov/gene/84068","84068")</f>
        <v>84068</v>
      </c>
      <c r="B3690" s="1" t="s">
        <v>8632</v>
      </c>
      <c r="C3690" t="s">
        <v>8633</v>
      </c>
      <c r="D3690">
        <v>127.1</v>
      </c>
      <c r="E3690">
        <v>130.80000000000001</v>
      </c>
      <c r="F3690">
        <v>99.7</v>
      </c>
      <c r="G3690">
        <v>98</v>
      </c>
      <c r="H3690">
        <v>130</v>
      </c>
      <c r="I3690">
        <v>132.69999999999999</v>
      </c>
      <c r="J3690">
        <v>100</v>
      </c>
      <c r="K3690">
        <v>100</v>
      </c>
      <c r="L3690" s="1" t="s">
        <v>8632</v>
      </c>
      <c r="M3690" t="s">
        <v>351</v>
      </c>
      <c r="N3690">
        <v>4</v>
      </c>
    </row>
    <row r="3691" spans="1:14" x14ac:dyDescent="0.25">
      <c r="A3691" s="3" t="str">
        <f>HYPERLINK("http://www.ncbi.nlm.nih.gov/gene/4891","4891")</f>
        <v>4891</v>
      </c>
      <c r="B3691" s="1" t="s">
        <v>8634</v>
      </c>
      <c r="C3691" t="s">
        <v>8635</v>
      </c>
      <c r="D3691">
        <v>109.3</v>
      </c>
      <c r="E3691">
        <v>112</v>
      </c>
      <c r="F3691">
        <v>98.2</v>
      </c>
      <c r="G3691">
        <v>98</v>
      </c>
      <c r="H3691">
        <v>129.19999999999999</v>
      </c>
      <c r="I3691">
        <v>132.5</v>
      </c>
      <c r="J3691">
        <v>100</v>
      </c>
      <c r="K3691">
        <v>100</v>
      </c>
      <c r="L3691" s="1" t="s">
        <v>8634</v>
      </c>
      <c r="M3691" t="s">
        <v>1639</v>
      </c>
      <c r="N3691">
        <v>3</v>
      </c>
    </row>
    <row r="3692" spans="1:14" x14ac:dyDescent="0.25">
      <c r="A3692" s="3" t="str">
        <f>HYPERLINK("http://www.ncbi.nlm.nih.gov/gene/6557","6557")</f>
        <v>6557</v>
      </c>
      <c r="B3692" s="1" t="s">
        <v>8636</v>
      </c>
      <c r="C3692" t="s">
        <v>8637</v>
      </c>
      <c r="D3692">
        <v>161.5</v>
      </c>
      <c r="E3692">
        <v>167.4</v>
      </c>
      <c r="F3692">
        <v>96.2</v>
      </c>
      <c r="G3692">
        <v>96.1</v>
      </c>
      <c r="H3692">
        <v>132.4</v>
      </c>
      <c r="I3692">
        <v>135.30000000000001</v>
      </c>
      <c r="J3692">
        <v>96.2</v>
      </c>
      <c r="K3692">
        <v>96.2</v>
      </c>
      <c r="L3692" s="1" t="s">
        <v>8636</v>
      </c>
      <c r="M3692" t="s">
        <v>8638</v>
      </c>
      <c r="N3692">
        <v>5</v>
      </c>
    </row>
    <row r="3693" spans="1:14" x14ac:dyDescent="0.25">
      <c r="A3693" s="3" t="str">
        <f>HYPERLINK("http://www.ncbi.nlm.nih.gov/gene/6558","6558")</f>
        <v>6558</v>
      </c>
      <c r="B3693" s="1" t="s">
        <v>8639</v>
      </c>
      <c r="C3693" t="s">
        <v>8640</v>
      </c>
      <c r="D3693">
        <v>122.6</v>
      </c>
      <c r="E3693">
        <v>112</v>
      </c>
      <c r="F3693">
        <v>94</v>
      </c>
      <c r="G3693">
        <v>91.4</v>
      </c>
      <c r="H3693">
        <v>120.4</v>
      </c>
      <c r="I3693">
        <v>123.8</v>
      </c>
      <c r="J3693">
        <v>100</v>
      </c>
      <c r="K3693">
        <v>99.8</v>
      </c>
      <c r="L3693" s="1" t="s">
        <v>8639</v>
      </c>
      <c r="M3693" t="s">
        <v>76</v>
      </c>
      <c r="N3693">
        <v>2</v>
      </c>
    </row>
    <row r="3694" spans="1:14" x14ac:dyDescent="0.25">
      <c r="A3694" s="3" t="str">
        <f>HYPERLINK("http://www.ncbi.nlm.nih.gov/gene/6559","6559")</f>
        <v>6559</v>
      </c>
      <c r="B3694" s="1" t="s">
        <v>8641</v>
      </c>
      <c r="C3694" t="s">
        <v>8642</v>
      </c>
      <c r="D3694">
        <v>147.6</v>
      </c>
      <c r="E3694">
        <v>152.80000000000001</v>
      </c>
      <c r="F3694">
        <v>100</v>
      </c>
      <c r="G3694">
        <v>99.9</v>
      </c>
      <c r="H3694">
        <v>138.69999999999999</v>
      </c>
      <c r="I3694">
        <v>142.6</v>
      </c>
      <c r="J3694">
        <v>100</v>
      </c>
      <c r="K3694">
        <v>100</v>
      </c>
      <c r="L3694" s="1" t="s">
        <v>8641</v>
      </c>
      <c r="M3694" t="s">
        <v>357</v>
      </c>
      <c r="N3694">
        <v>3</v>
      </c>
    </row>
    <row r="3695" spans="1:14" x14ac:dyDescent="0.25">
      <c r="A3695" s="3" t="str">
        <f>HYPERLINK("http://www.ncbi.nlm.nih.gov/gene/57468","57468")</f>
        <v>57468</v>
      </c>
      <c r="B3695" s="1" t="s">
        <v>8643</v>
      </c>
      <c r="C3695" t="s">
        <v>8644</v>
      </c>
      <c r="D3695">
        <v>111</v>
      </c>
      <c r="E3695">
        <v>116.3</v>
      </c>
      <c r="F3695">
        <v>83.9</v>
      </c>
      <c r="G3695">
        <v>83.8</v>
      </c>
      <c r="H3695">
        <v>124.5</v>
      </c>
      <c r="I3695">
        <v>128.4</v>
      </c>
      <c r="J3695">
        <v>97.4</v>
      </c>
      <c r="K3695">
        <v>97.4</v>
      </c>
      <c r="L3695" s="1" t="s">
        <v>8643</v>
      </c>
      <c r="M3695" t="s">
        <v>8645</v>
      </c>
      <c r="N3695">
        <v>4</v>
      </c>
    </row>
    <row r="3696" spans="1:14" x14ac:dyDescent="0.25">
      <c r="A3696" s="3" t="str">
        <f>HYPERLINK("http://www.ncbi.nlm.nih.gov/gene/9990","9990")</f>
        <v>9990</v>
      </c>
      <c r="B3696" s="1" t="s">
        <v>8646</v>
      </c>
      <c r="C3696" t="s">
        <v>8647</v>
      </c>
      <c r="D3696">
        <v>141</v>
      </c>
      <c r="E3696">
        <v>146.80000000000001</v>
      </c>
      <c r="F3696">
        <v>100</v>
      </c>
      <c r="G3696">
        <v>100</v>
      </c>
      <c r="H3696">
        <v>127.8</v>
      </c>
      <c r="I3696">
        <v>131.69999999999999</v>
      </c>
      <c r="J3696">
        <v>100</v>
      </c>
      <c r="K3696">
        <v>100</v>
      </c>
      <c r="L3696" s="1" t="s">
        <v>8646</v>
      </c>
      <c r="M3696" t="s">
        <v>360</v>
      </c>
      <c r="N3696">
        <v>5</v>
      </c>
    </row>
    <row r="3697" spans="1:14" x14ac:dyDescent="0.25">
      <c r="A3697" s="3" t="str">
        <f>HYPERLINK("http://www.ncbi.nlm.nih.gov/gene/64849","64849")</f>
        <v>64849</v>
      </c>
      <c r="B3697" s="1" t="s">
        <v>8648</v>
      </c>
      <c r="C3697" t="s">
        <v>8649</v>
      </c>
      <c r="D3697">
        <v>96.2</v>
      </c>
      <c r="E3697">
        <v>100.7</v>
      </c>
      <c r="F3697">
        <v>99.4</v>
      </c>
      <c r="G3697">
        <v>97.5</v>
      </c>
      <c r="H3697">
        <v>135.6</v>
      </c>
      <c r="I3697">
        <v>139.9</v>
      </c>
      <c r="J3697">
        <v>100</v>
      </c>
      <c r="K3697">
        <v>100</v>
      </c>
      <c r="L3697" s="1" t="s">
        <v>8648</v>
      </c>
      <c r="M3697" t="s">
        <v>116</v>
      </c>
      <c r="N3697">
        <v>3</v>
      </c>
    </row>
    <row r="3698" spans="1:14" x14ac:dyDescent="0.25">
      <c r="A3698" s="3" t="str">
        <f>HYPERLINK("http://www.ncbi.nlm.nih.gov/gene/284111","284111")</f>
        <v>284111</v>
      </c>
      <c r="B3698" s="1" t="s">
        <v>8650</v>
      </c>
      <c r="C3698" t="s">
        <v>8651</v>
      </c>
      <c r="D3698">
        <v>147.6</v>
      </c>
      <c r="E3698">
        <v>156.9</v>
      </c>
      <c r="F3698">
        <v>100</v>
      </c>
      <c r="G3698">
        <v>99.9</v>
      </c>
      <c r="H3698">
        <v>133.9</v>
      </c>
      <c r="I3698">
        <v>137.80000000000001</v>
      </c>
      <c r="J3698">
        <v>100</v>
      </c>
      <c r="K3698">
        <v>100</v>
      </c>
      <c r="L3698" s="1" t="s">
        <v>8650</v>
      </c>
      <c r="M3698" t="s">
        <v>1220</v>
      </c>
      <c r="N3698">
        <v>4</v>
      </c>
    </row>
    <row r="3699" spans="1:14" x14ac:dyDescent="0.25">
      <c r="A3699" s="3" t="str">
        <f>HYPERLINK("http://www.ncbi.nlm.nih.gov/gene/6566","6566")</f>
        <v>6566</v>
      </c>
      <c r="B3699" s="1" t="s">
        <v>8652</v>
      </c>
      <c r="C3699" t="s">
        <v>8653</v>
      </c>
      <c r="D3699">
        <v>155.6</v>
      </c>
      <c r="E3699">
        <v>162.9</v>
      </c>
      <c r="F3699">
        <v>100</v>
      </c>
      <c r="G3699">
        <v>99.3</v>
      </c>
      <c r="H3699">
        <v>141.4</v>
      </c>
      <c r="I3699">
        <v>145.6</v>
      </c>
      <c r="J3699">
        <v>100</v>
      </c>
      <c r="K3699">
        <v>100</v>
      </c>
      <c r="L3699" s="1" t="s">
        <v>8652</v>
      </c>
      <c r="M3699" t="s">
        <v>8654</v>
      </c>
      <c r="N3699">
        <v>4</v>
      </c>
    </row>
    <row r="3700" spans="1:14" x14ac:dyDescent="0.25">
      <c r="A3700" s="3" t="str">
        <f>HYPERLINK("http://www.ncbi.nlm.nih.gov/gene/387700","387700")</f>
        <v>387700</v>
      </c>
      <c r="B3700" s="1" t="s">
        <v>8655</v>
      </c>
      <c r="C3700" t="s">
        <v>8656</v>
      </c>
      <c r="D3700">
        <v>144.30000000000001</v>
      </c>
      <c r="E3700">
        <v>152.1</v>
      </c>
      <c r="F3700">
        <v>100</v>
      </c>
      <c r="G3700">
        <v>99.9</v>
      </c>
      <c r="H3700">
        <v>137.9</v>
      </c>
      <c r="I3700">
        <v>141.80000000000001</v>
      </c>
      <c r="J3700">
        <v>100</v>
      </c>
      <c r="K3700">
        <v>100</v>
      </c>
      <c r="L3700" s="1" t="s">
        <v>8655</v>
      </c>
      <c r="M3700" t="s">
        <v>6906</v>
      </c>
      <c r="N3700">
        <v>3</v>
      </c>
    </row>
    <row r="3701" spans="1:14" x14ac:dyDescent="0.25">
      <c r="A3701" s="3" t="str">
        <f>HYPERLINK("http://www.ncbi.nlm.nih.gov/gene/6567","6567")</f>
        <v>6567</v>
      </c>
      <c r="B3701" s="1" t="s">
        <v>8657</v>
      </c>
      <c r="C3701" t="s">
        <v>8658</v>
      </c>
      <c r="D3701">
        <v>69.900000000000006</v>
      </c>
      <c r="E3701">
        <v>71.900000000000006</v>
      </c>
      <c r="F3701">
        <v>99.2</v>
      </c>
      <c r="G3701">
        <v>93.7</v>
      </c>
      <c r="H3701">
        <v>163.9</v>
      </c>
      <c r="I3701">
        <v>168.7</v>
      </c>
      <c r="J3701">
        <v>100</v>
      </c>
      <c r="K3701">
        <v>100</v>
      </c>
      <c r="L3701" s="1" t="s">
        <v>8657</v>
      </c>
      <c r="M3701" t="s">
        <v>8659</v>
      </c>
      <c r="N3701">
        <v>3</v>
      </c>
    </row>
    <row r="3702" spans="1:14" x14ac:dyDescent="0.25">
      <c r="A3702" s="3" t="str">
        <f>HYPERLINK("http://www.ncbi.nlm.nih.gov/gene/26503","26503")</f>
        <v>26503</v>
      </c>
      <c r="B3702" s="1" t="s">
        <v>8660</v>
      </c>
      <c r="C3702" t="s">
        <v>8661</v>
      </c>
      <c r="D3702">
        <v>147.30000000000001</v>
      </c>
      <c r="E3702">
        <v>153.4</v>
      </c>
      <c r="F3702">
        <v>99.6</v>
      </c>
      <c r="G3702">
        <v>97</v>
      </c>
      <c r="H3702">
        <v>128.5</v>
      </c>
      <c r="I3702">
        <v>132.5</v>
      </c>
      <c r="J3702">
        <v>100</v>
      </c>
      <c r="K3702">
        <v>100</v>
      </c>
      <c r="L3702" s="1" t="s">
        <v>8660</v>
      </c>
      <c r="M3702" t="s">
        <v>468</v>
      </c>
      <c r="N3702">
        <v>5</v>
      </c>
    </row>
    <row r="3703" spans="1:14" x14ac:dyDescent="0.25">
      <c r="A3703" s="3" t="str">
        <f>HYPERLINK("http://www.ncbi.nlm.nih.gov/gene/246213","246213")</f>
        <v>246213</v>
      </c>
      <c r="B3703" s="1" t="s">
        <v>8662</v>
      </c>
      <c r="C3703" t="s">
        <v>8663</v>
      </c>
      <c r="D3703">
        <v>153.9</v>
      </c>
      <c r="E3703">
        <v>158.6</v>
      </c>
      <c r="F3703">
        <v>100</v>
      </c>
      <c r="G3703">
        <v>100</v>
      </c>
      <c r="H3703">
        <v>140.80000000000001</v>
      </c>
      <c r="I3703">
        <v>145.30000000000001</v>
      </c>
      <c r="J3703">
        <v>100</v>
      </c>
      <c r="K3703">
        <v>100</v>
      </c>
      <c r="L3703" s="1" t="s">
        <v>8662</v>
      </c>
      <c r="M3703" t="s">
        <v>76</v>
      </c>
      <c r="N3703">
        <v>2</v>
      </c>
    </row>
    <row r="3704" spans="1:14" x14ac:dyDescent="0.25">
      <c r="A3704" s="3" t="str">
        <f>HYPERLINK("http://www.ncbi.nlm.nih.gov/gene/63910","63910")</f>
        <v>63910</v>
      </c>
      <c r="B3704" s="1" t="s">
        <v>8664</v>
      </c>
      <c r="C3704" t="s">
        <v>8665</v>
      </c>
      <c r="D3704">
        <v>125.4</v>
      </c>
      <c r="E3704">
        <v>129</v>
      </c>
      <c r="F3704">
        <v>96.3</v>
      </c>
      <c r="G3704">
        <v>95.4</v>
      </c>
      <c r="H3704">
        <v>131</v>
      </c>
      <c r="I3704">
        <v>133.80000000000001</v>
      </c>
      <c r="J3704">
        <v>100</v>
      </c>
      <c r="K3704">
        <v>100</v>
      </c>
      <c r="L3704" s="1" t="s">
        <v>8664</v>
      </c>
      <c r="M3704" t="s">
        <v>29</v>
      </c>
      <c r="N3704">
        <v>2</v>
      </c>
    </row>
    <row r="3705" spans="1:14" x14ac:dyDescent="0.25">
      <c r="A3705" s="3" t="str">
        <f>HYPERLINK("http://www.ncbi.nlm.nih.gov/gene/6571","6571")</f>
        <v>6571</v>
      </c>
      <c r="B3705" s="1" t="s">
        <v>8666</v>
      </c>
      <c r="C3705" t="s">
        <v>8667</v>
      </c>
      <c r="D3705">
        <v>119.6</v>
      </c>
      <c r="E3705">
        <v>124.9</v>
      </c>
      <c r="F3705">
        <v>100</v>
      </c>
      <c r="G3705">
        <v>99.7</v>
      </c>
      <c r="H3705">
        <v>139.4</v>
      </c>
      <c r="I3705">
        <v>142.30000000000001</v>
      </c>
      <c r="J3705">
        <v>100</v>
      </c>
      <c r="K3705">
        <v>100</v>
      </c>
      <c r="L3705" s="1" t="s">
        <v>8666</v>
      </c>
      <c r="M3705" t="s">
        <v>116</v>
      </c>
      <c r="N3705">
        <v>3</v>
      </c>
    </row>
    <row r="3706" spans="1:14" x14ac:dyDescent="0.25">
      <c r="A3706" s="3" t="str">
        <f>HYPERLINK("http://www.ncbi.nlm.nih.gov/gene/6572","6572")</f>
        <v>6572</v>
      </c>
      <c r="B3706" s="1" t="s">
        <v>8668</v>
      </c>
      <c r="C3706" t="s">
        <v>8669</v>
      </c>
      <c r="D3706">
        <v>239.1</v>
      </c>
      <c r="E3706">
        <v>191.2</v>
      </c>
      <c r="F3706">
        <v>100</v>
      </c>
      <c r="G3706">
        <v>100</v>
      </c>
      <c r="H3706">
        <v>172.3</v>
      </c>
      <c r="I3706">
        <v>169.8</v>
      </c>
      <c r="J3706">
        <v>100</v>
      </c>
      <c r="K3706">
        <v>100</v>
      </c>
      <c r="L3706" s="1" t="s">
        <v>8668</v>
      </c>
      <c r="M3706" t="s">
        <v>53</v>
      </c>
      <c r="N3706">
        <v>2</v>
      </c>
    </row>
    <row r="3707" spans="1:14" x14ac:dyDescent="0.25">
      <c r="A3707" s="3" t="str">
        <f>HYPERLINK("http://www.ncbi.nlm.nih.gov/gene/10560","10560")</f>
        <v>10560</v>
      </c>
      <c r="B3707" s="1" t="s">
        <v>8670</v>
      </c>
      <c r="C3707" t="s">
        <v>8671</v>
      </c>
      <c r="D3707">
        <v>107.1</v>
      </c>
      <c r="E3707">
        <v>110.3</v>
      </c>
      <c r="F3707">
        <v>100</v>
      </c>
      <c r="G3707">
        <v>99.7</v>
      </c>
      <c r="H3707">
        <v>139.69999999999999</v>
      </c>
      <c r="I3707">
        <v>144.30000000000001</v>
      </c>
      <c r="J3707">
        <v>100</v>
      </c>
      <c r="K3707">
        <v>100</v>
      </c>
      <c r="L3707" s="1" t="s">
        <v>8670</v>
      </c>
      <c r="M3707" t="s">
        <v>8672</v>
      </c>
      <c r="N3707">
        <v>6</v>
      </c>
    </row>
    <row r="3708" spans="1:14" x14ac:dyDescent="0.25">
      <c r="A3708" s="3" t="str">
        <f>HYPERLINK("http://www.ncbi.nlm.nih.gov/gene/80704","80704")</f>
        <v>80704</v>
      </c>
      <c r="B3708" s="1" t="s">
        <v>8673</v>
      </c>
      <c r="C3708" t="s">
        <v>8674</v>
      </c>
      <c r="D3708">
        <v>155.1</v>
      </c>
      <c r="E3708">
        <v>156.5</v>
      </c>
      <c r="F3708">
        <v>97.8</v>
      </c>
      <c r="G3708">
        <v>97.6</v>
      </c>
      <c r="H3708">
        <v>152</v>
      </c>
      <c r="I3708">
        <v>155</v>
      </c>
      <c r="J3708">
        <v>98.7</v>
      </c>
      <c r="K3708">
        <v>98.7</v>
      </c>
      <c r="L3708" s="1" t="s">
        <v>8673</v>
      </c>
      <c r="M3708" t="s">
        <v>3419</v>
      </c>
      <c r="N3708">
        <v>6</v>
      </c>
    </row>
    <row r="3709" spans="1:14" x14ac:dyDescent="0.25">
      <c r="A3709" s="3" t="str">
        <f>HYPERLINK("http://www.ncbi.nlm.nih.gov/gene/6505","6505")</f>
        <v>6505</v>
      </c>
      <c r="B3709" s="1" t="s">
        <v>8675</v>
      </c>
      <c r="C3709" t="s">
        <v>8676</v>
      </c>
      <c r="D3709">
        <v>153.9</v>
      </c>
      <c r="E3709">
        <v>163.80000000000001</v>
      </c>
      <c r="F3709">
        <v>99.9</v>
      </c>
      <c r="G3709">
        <v>99.6</v>
      </c>
      <c r="H3709">
        <v>129.9</v>
      </c>
      <c r="I3709">
        <v>133.9</v>
      </c>
      <c r="J3709">
        <v>100</v>
      </c>
      <c r="K3709">
        <v>100</v>
      </c>
      <c r="L3709" s="1" t="s">
        <v>8675</v>
      </c>
      <c r="M3709" t="s">
        <v>228</v>
      </c>
      <c r="N3709">
        <v>3</v>
      </c>
    </row>
    <row r="3710" spans="1:14" x14ac:dyDescent="0.25">
      <c r="A3710" s="3" t="str">
        <f>HYPERLINK("http://www.ncbi.nlm.nih.gov/gene/6506","6506")</f>
        <v>6506</v>
      </c>
      <c r="B3710" s="1" t="s">
        <v>8677</v>
      </c>
      <c r="C3710" t="s">
        <v>8678</v>
      </c>
      <c r="D3710">
        <v>109</v>
      </c>
      <c r="E3710">
        <v>112</v>
      </c>
      <c r="F3710">
        <v>96.1</v>
      </c>
      <c r="G3710">
        <v>95.4</v>
      </c>
      <c r="H3710">
        <v>139.1</v>
      </c>
      <c r="I3710">
        <v>143.80000000000001</v>
      </c>
      <c r="J3710">
        <v>100</v>
      </c>
      <c r="K3710">
        <v>100</v>
      </c>
      <c r="L3710" s="1" t="s">
        <v>8677</v>
      </c>
      <c r="M3710" t="s">
        <v>995</v>
      </c>
      <c r="N3710">
        <v>3</v>
      </c>
    </row>
    <row r="3711" spans="1:14" x14ac:dyDescent="0.25">
      <c r="A3711" s="3" t="str">
        <f>HYPERLINK("http://www.ncbi.nlm.nih.gov/gene/6507","6507")</f>
        <v>6507</v>
      </c>
      <c r="B3711" s="1" t="s">
        <v>8679</v>
      </c>
      <c r="C3711" t="s">
        <v>8680</v>
      </c>
      <c r="D3711">
        <v>115.4</v>
      </c>
      <c r="E3711">
        <v>120.2</v>
      </c>
      <c r="F3711">
        <v>100</v>
      </c>
      <c r="G3711">
        <v>99.9</v>
      </c>
      <c r="H3711">
        <v>143</v>
      </c>
      <c r="I3711">
        <v>147.6</v>
      </c>
      <c r="J3711">
        <v>100</v>
      </c>
      <c r="K3711">
        <v>100</v>
      </c>
      <c r="L3711" s="1" t="s">
        <v>8679</v>
      </c>
      <c r="M3711" t="s">
        <v>600</v>
      </c>
      <c r="N3711">
        <v>2</v>
      </c>
    </row>
    <row r="3712" spans="1:14" x14ac:dyDescent="0.25">
      <c r="A3712" s="3" t="str">
        <f>HYPERLINK("http://www.ncbi.nlm.nih.gov/gene/6509","6509")</f>
        <v>6509</v>
      </c>
      <c r="B3712" s="1" t="s">
        <v>8681</v>
      </c>
      <c r="C3712" t="s">
        <v>8682</v>
      </c>
      <c r="D3712">
        <v>141</v>
      </c>
      <c r="E3712">
        <v>149.19999999999999</v>
      </c>
      <c r="F3712">
        <v>99</v>
      </c>
      <c r="G3712">
        <v>95.8</v>
      </c>
      <c r="H3712">
        <v>139.80000000000001</v>
      </c>
      <c r="I3712">
        <v>143</v>
      </c>
      <c r="J3712">
        <v>100</v>
      </c>
      <c r="K3712">
        <v>100</v>
      </c>
      <c r="L3712" s="1" t="s">
        <v>8681</v>
      </c>
      <c r="M3712" t="s">
        <v>228</v>
      </c>
      <c r="N3712">
        <v>3</v>
      </c>
    </row>
    <row r="3713" spans="1:14" x14ac:dyDescent="0.25">
      <c r="A3713" s="3" t="str">
        <f>HYPERLINK("http://www.ncbi.nlm.nih.gov/gene/6575","6575")</f>
        <v>6575</v>
      </c>
      <c r="B3713" s="1" t="s">
        <v>8683</v>
      </c>
      <c r="C3713" t="s">
        <v>8684</v>
      </c>
      <c r="D3713">
        <v>113.4</v>
      </c>
      <c r="E3713">
        <v>121.1</v>
      </c>
      <c r="F3713">
        <v>100</v>
      </c>
      <c r="G3713">
        <v>99.2</v>
      </c>
      <c r="H3713">
        <v>130.9</v>
      </c>
      <c r="I3713">
        <v>134.9</v>
      </c>
      <c r="J3713">
        <v>100</v>
      </c>
      <c r="K3713">
        <v>100</v>
      </c>
      <c r="L3713" s="1" t="s">
        <v>8683</v>
      </c>
      <c r="M3713" t="s">
        <v>8685</v>
      </c>
      <c r="N3713">
        <v>3</v>
      </c>
    </row>
    <row r="3714" spans="1:14" x14ac:dyDescent="0.25">
      <c r="A3714" s="3" t="str">
        <f>HYPERLINK("http://www.ncbi.nlm.nih.gov/gene/116085","116085")</f>
        <v>116085</v>
      </c>
      <c r="B3714" s="1" t="s">
        <v>8686</v>
      </c>
      <c r="C3714" t="s">
        <v>8687</v>
      </c>
      <c r="D3714">
        <v>110.8</v>
      </c>
      <c r="E3714">
        <v>113.2</v>
      </c>
      <c r="F3714">
        <v>100</v>
      </c>
      <c r="G3714">
        <v>99.8</v>
      </c>
      <c r="H3714">
        <v>152.6</v>
      </c>
      <c r="I3714">
        <v>157.69999999999999</v>
      </c>
      <c r="J3714">
        <v>100</v>
      </c>
      <c r="K3714">
        <v>100</v>
      </c>
      <c r="L3714" s="1" t="s">
        <v>8686</v>
      </c>
      <c r="M3714" t="s">
        <v>365</v>
      </c>
      <c r="N3714">
        <v>4</v>
      </c>
    </row>
    <row r="3715" spans="1:14" x14ac:dyDescent="0.25">
      <c r="A3715" s="3" t="str">
        <f>HYPERLINK("http://www.ncbi.nlm.nih.gov/gene/5002","5002")</f>
        <v>5002</v>
      </c>
      <c r="B3715" s="1" t="s">
        <v>8688</v>
      </c>
      <c r="C3715" t="s">
        <v>8689</v>
      </c>
      <c r="D3715">
        <v>108.1</v>
      </c>
      <c r="E3715">
        <v>114.2</v>
      </c>
      <c r="F3715">
        <v>100</v>
      </c>
      <c r="G3715">
        <v>98.1</v>
      </c>
      <c r="H3715">
        <v>172.8</v>
      </c>
      <c r="I3715">
        <v>176.8</v>
      </c>
      <c r="J3715">
        <v>100</v>
      </c>
      <c r="K3715">
        <v>100</v>
      </c>
      <c r="L3715" s="1" t="s">
        <v>8688</v>
      </c>
      <c r="M3715" t="s">
        <v>22</v>
      </c>
      <c r="N3715">
        <v>1</v>
      </c>
    </row>
    <row r="3716" spans="1:14" x14ac:dyDescent="0.25">
      <c r="A3716" s="3" t="str">
        <f>HYPERLINK("http://www.ncbi.nlm.nih.gov/gene/6583","6583")</f>
        <v>6583</v>
      </c>
      <c r="B3716" s="1" t="s">
        <v>8690</v>
      </c>
      <c r="C3716" t="s">
        <v>8691</v>
      </c>
      <c r="D3716">
        <v>132</v>
      </c>
      <c r="E3716">
        <v>131.69999999999999</v>
      </c>
      <c r="F3716">
        <v>100</v>
      </c>
      <c r="G3716">
        <v>99.6</v>
      </c>
      <c r="H3716">
        <v>143.4</v>
      </c>
      <c r="I3716">
        <v>146.5</v>
      </c>
      <c r="J3716">
        <v>100</v>
      </c>
      <c r="K3716">
        <v>100</v>
      </c>
      <c r="L3716" s="1" t="s">
        <v>8690</v>
      </c>
      <c r="M3716" t="s">
        <v>1120</v>
      </c>
      <c r="N3716">
        <v>2</v>
      </c>
    </row>
    <row r="3717" spans="1:14" x14ac:dyDescent="0.25">
      <c r="A3717" s="3" t="str">
        <f>HYPERLINK("http://www.ncbi.nlm.nih.gov/gene/6584","6584")</f>
        <v>6584</v>
      </c>
      <c r="B3717" s="1" t="s">
        <v>8692</v>
      </c>
      <c r="C3717" t="s">
        <v>8693</v>
      </c>
      <c r="D3717">
        <v>145.30000000000001</v>
      </c>
      <c r="E3717">
        <v>145.5</v>
      </c>
      <c r="F3717">
        <v>100</v>
      </c>
      <c r="G3717">
        <v>100</v>
      </c>
      <c r="H3717">
        <v>149.6</v>
      </c>
      <c r="I3717">
        <v>153.19999999999999</v>
      </c>
      <c r="J3717">
        <v>100</v>
      </c>
      <c r="K3717">
        <v>100</v>
      </c>
      <c r="L3717" s="1" t="s">
        <v>8692</v>
      </c>
      <c r="M3717" t="s">
        <v>2275</v>
      </c>
      <c r="N3717">
        <v>4</v>
      </c>
    </row>
    <row r="3718" spans="1:14" x14ac:dyDescent="0.25">
      <c r="A3718" s="3" t="str">
        <f>HYPERLINK("http://www.ncbi.nlm.nih.gov/gene/9187","9187")</f>
        <v>9187</v>
      </c>
      <c r="B3718" s="1" t="s">
        <v>8694</v>
      </c>
      <c r="C3718" t="s">
        <v>8695</v>
      </c>
      <c r="D3718">
        <v>169</v>
      </c>
      <c r="E3718">
        <v>169.3</v>
      </c>
      <c r="F3718">
        <v>100</v>
      </c>
      <c r="G3718">
        <v>99.9</v>
      </c>
      <c r="H3718">
        <v>138.80000000000001</v>
      </c>
      <c r="I3718">
        <v>140.80000000000001</v>
      </c>
      <c r="J3718">
        <v>100</v>
      </c>
      <c r="K3718">
        <v>100</v>
      </c>
      <c r="L3718" s="1" t="s">
        <v>8694</v>
      </c>
      <c r="M3718" t="s">
        <v>56</v>
      </c>
      <c r="N3718">
        <v>3</v>
      </c>
    </row>
    <row r="3719" spans="1:14" x14ac:dyDescent="0.25">
      <c r="A3719" s="3" t="str">
        <f>HYPERLINK("http://www.ncbi.nlm.nih.gov/gene/123041","123041")</f>
        <v>123041</v>
      </c>
      <c r="B3719" s="1" t="s">
        <v>8696</v>
      </c>
      <c r="C3719" t="s">
        <v>8697</v>
      </c>
      <c r="D3719">
        <v>120.1</v>
      </c>
      <c r="E3719">
        <v>123.9</v>
      </c>
      <c r="F3719">
        <v>100</v>
      </c>
      <c r="G3719">
        <v>99.8</v>
      </c>
      <c r="H3719">
        <v>137.30000000000001</v>
      </c>
      <c r="I3719">
        <v>140.80000000000001</v>
      </c>
      <c r="J3719">
        <v>100</v>
      </c>
      <c r="K3719">
        <v>100</v>
      </c>
      <c r="L3719" s="1" t="s">
        <v>8696</v>
      </c>
      <c r="M3719" t="s">
        <v>4879</v>
      </c>
      <c r="N3719">
        <v>4</v>
      </c>
    </row>
    <row r="3720" spans="1:14" x14ac:dyDescent="0.25">
      <c r="A3720" s="3" t="str">
        <f>HYPERLINK("http://www.ncbi.nlm.nih.gov/gene/283652","283652")</f>
        <v>283652</v>
      </c>
      <c r="B3720" s="1" t="s">
        <v>8698</v>
      </c>
      <c r="C3720" t="s">
        <v>8699</v>
      </c>
      <c r="D3720">
        <v>109.1</v>
      </c>
      <c r="E3720">
        <v>113.8</v>
      </c>
      <c r="F3720">
        <v>99.9</v>
      </c>
      <c r="G3720">
        <v>99.1</v>
      </c>
      <c r="H3720">
        <v>142.6</v>
      </c>
      <c r="I3720">
        <v>146.4</v>
      </c>
      <c r="J3720">
        <v>100</v>
      </c>
      <c r="K3720">
        <v>100</v>
      </c>
      <c r="L3720" s="1" t="s">
        <v>8698</v>
      </c>
      <c r="M3720" t="s">
        <v>1633</v>
      </c>
      <c r="N3720">
        <v>4</v>
      </c>
    </row>
    <row r="3721" spans="1:14" x14ac:dyDescent="0.25">
      <c r="A3721" s="3" t="str">
        <f>HYPERLINK("http://www.ncbi.nlm.nih.gov/gene/6576","6576")</f>
        <v>6576</v>
      </c>
      <c r="B3721" s="1" t="s">
        <v>8700</v>
      </c>
      <c r="C3721" t="s">
        <v>8701</v>
      </c>
      <c r="D3721">
        <v>96.2</v>
      </c>
      <c r="E3721">
        <v>97.8</v>
      </c>
      <c r="F3721">
        <v>95.8</v>
      </c>
      <c r="G3721">
        <v>88.6</v>
      </c>
      <c r="H3721">
        <v>129.30000000000001</v>
      </c>
      <c r="I3721">
        <v>131</v>
      </c>
      <c r="J3721">
        <v>99.5</v>
      </c>
      <c r="K3721">
        <v>97.8</v>
      </c>
      <c r="L3721" s="1" t="s">
        <v>8700</v>
      </c>
      <c r="M3721" t="s">
        <v>41</v>
      </c>
      <c r="N3721">
        <v>6</v>
      </c>
    </row>
    <row r="3722" spans="1:14" x14ac:dyDescent="0.25">
      <c r="A3722" s="3" t="str">
        <f>HYPERLINK("http://www.ncbi.nlm.nih.gov/gene/1468","1468")</f>
        <v>1468</v>
      </c>
      <c r="B3722" s="1" t="s">
        <v>8702</v>
      </c>
      <c r="C3722" t="s">
        <v>8703</v>
      </c>
      <c r="D3722">
        <v>83.5</v>
      </c>
      <c r="E3722">
        <v>68.099999999999994</v>
      </c>
      <c r="F3722">
        <v>76.2</v>
      </c>
      <c r="G3722">
        <v>69.3</v>
      </c>
      <c r="H3722">
        <v>121.1</v>
      </c>
      <c r="I3722">
        <v>122.6</v>
      </c>
      <c r="J3722">
        <v>100</v>
      </c>
      <c r="K3722">
        <v>100</v>
      </c>
      <c r="L3722" s="1" t="s">
        <v>8702</v>
      </c>
      <c r="M3722" t="s">
        <v>265</v>
      </c>
      <c r="N3722">
        <v>2</v>
      </c>
    </row>
    <row r="3723" spans="1:14" x14ac:dyDescent="0.25">
      <c r="A3723" s="3" t="str">
        <f>HYPERLINK("http://www.ncbi.nlm.nih.gov/gene/8402","8402")</f>
        <v>8402</v>
      </c>
      <c r="B3723" s="1" t="s">
        <v>8704</v>
      </c>
      <c r="C3723" t="s">
        <v>8705</v>
      </c>
      <c r="D3723">
        <v>176.8</v>
      </c>
      <c r="E3723">
        <v>181.9</v>
      </c>
      <c r="F3723">
        <v>100</v>
      </c>
      <c r="G3723">
        <v>100</v>
      </c>
      <c r="H3723">
        <v>129.30000000000001</v>
      </c>
      <c r="I3723">
        <v>131.69999999999999</v>
      </c>
      <c r="J3723">
        <v>100</v>
      </c>
      <c r="K3723">
        <v>100</v>
      </c>
      <c r="L3723" s="1" t="s">
        <v>8704</v>
      </c>
      <c r="M3723" t="s">
        <v>285</v>
      </c>
      <c r="N3723">
        <v>1</v>
      </c>
    </row>
    <row r="3724" spans="1:14" x14ac:dyDescent="0.25">
      <c r="A3724" s="3" t="str">
        <f>HYPERLINK("http://www.ncbi.nlm.nih.gov/gene/8604","8604")</f>
        <v>8604</v>
      </c>
      <c r="B3724" s="1" t="s">
        <v>8706</v>
      </c>
      <c r="C3724" t="s">
        <v>8707</v>
      </c>
      <c r="D3724">
        <v>180.5</v>
      </c>
      <c r="E3724">
        <v>187.5</v>
      </c>
      <c r="F3724">
        <v>99.9</v>
      </c>
      <c r="G3724">
        <v>99.5</v>
      </c>
      <c r="H3724">
        <v>131.30000000000001</v>
      </c>
      <c r="I3724">
        <v>134.4</v>
      </c>
      <c r="J3724">
        <v>100</v>
      </c>
      <c r="K3724">
        <v>100</v>
      </c>
      <c r="L3724" s="1" t="s">
        <v>8706</v>
      </c>
      <c r="M3724" t="s">
        <v>830</v>
      </c>
      <c r="N3724">
        <v>4</v>
      </c>
    </row>
    <row r="3725" spans="1:14" x14ac:dyDescent="0.25">
      <c r="A3725" s="3" t="str">
        <f>HYPERLINK("http://www.ncbi.nlm.nih.gov/gene/10165","10165")</f>
        <v>10165</v>
      </c>
      <c r="B3725" s="1" t="s">
        <v>8708</v>
      </c>
      <c r="C3725" t="s">
        <v>8709</v>
      </c>
      <c r="D3725">
        <v>142.4</v>
      </c>
      <c r="E3725">
        <v>146.4</v>
      </c>
      <c r="F3725">
        <v>100</v>
      </c>
      <c r="G3725">
        <v>99.7</v>
      </c>
      <c r="H3725">
        <v>132.4</v>
      </c>
      <c r="I3725">
        <v>135.9</v>
      </c>
      <c r="J3725">
        <v>100</v>
      </c>
      <c r="K3725">
        <v>100</v>
      </c>
      <c r="L3725" s="1" t="s">
        <v>8708</v>
      </c>
      <c r="M3725" t="s">
        <v>3272</v>
      </c>
      <c r="N3725">
        <v>5</v>
      </c>
    </row>
    <row r="3726" spans="1:14" x14ac:dyDescent="0.25">
      <c r="A3726" s="3" t="str">
        <f>HYPERLINK("http://www.ncbi.nlm.nih.gov/gene/10166","10166")</f>
        <v>10166</v>
      </c>
      <c r="B3726" s="1" t="s">
        <v>8710</v>
      </c>
      <c r="C3726" t="s">
        <v>8711</v>
      </c>
      <c r="D3726">
        <v>167.8</v>
      </c>
      <c r="E3726">
        <v>176.5</v>
      </c>
      <c r="F3726">
        <v>99.8</v>
      </c>
      <c r="G3726">
        <v>98.1</v>
      </c>
      <c r="H3726">
        <v>145.80000000000001</v>
      </c>
      <c r="I3726">
        <v>150.69999999999999</v>
      </c>
      <c r="J3726">
        <v>100</v>
      </c>
      <c r="K3726">
        <v>100</v>
      </c>
      <c r="L3726" s="1" t="s">
        <v>8710</v>
      </c>
      <c r="M3726" t="s">
        <v>449</v>
      </c>
      <c r="N3726">
        <v>6</v>
      </c>
    </row>
    <row r="3727" spans="1:14" x14ac:dyDescent="0.25">
      <c r="A3727" s="3" t="str">
        <f>HYPERLINK("http://www.ncbi.nlm.nih.gov/gene/60386","60386")</f>
        <v>60386</v>
      </c>
      <c r="B3727" s="1" t="s">
        <v>8712</v>
      </c>
      <c r="C3727" t="s">
        <v>8713</v>
      </c>
      <c r="D3727">
        <v>88.8</v>
      </c>
      <c r="E3727">
        <v>94</v>
      </c>
      <c r="F3727">
        <v>100</v>
      </c>
      <c r="G3727">
        <v>98.5</v>
      </c>
      <c r="H3727">
        <v>113.1</v>
      </c>
      <c r="I3727">
        <v>116.6</v>
      </c>
      <c r="J3727">
        <v>100</v>
      </c>
      <c r="K3727">
        <v>100</v>
      </c>
      <c r="L3727" s="1" t="s">
        <v>8712</v>
      </c>
      <c r="M3727" t="s">
        <v>8714</v>
      </c>
      <c r="N3727">
        <v>5</v>
      </c>
    </row>
    <row r="3728" spans="1:14" x14ac:dyDescent="0.25">
      <c r="A3728" s="3" t="str">
        <f>HYPERLINK("http://www.ncbi.nlm.nih.gov/gene/788","788")</f>
        <v>788</v>
      </c>
      <c r="B3728" s="1" t="s">
        <v>8715</v>
      </c>
      <c r="C3728" t="s">
        <v>8716</v>
      </c>
      <c r="D3728">
        <v>103.8</v>
      </c>
      <c r="E3728">
        <v>106.4</v>
      </c>
      <c r="F3728">
        <v>100</v>
      </c>
      <c r="G3728">
        <v>100</v>
      </c>
      <c r="H3728">
        <v>104.8</v>
      </c>
      <c r="I3728">
        <v>107.2</v>
      </c>
      <c r="J3728">
        <v>100</v>
      </c>
      <c r="K3728">
        <v>100</v>
      </c>
      <c r="L3728" s="1" t="s">
        <v>8715</v>
      </c>
      <c r="M3728" t="s">
        <v>2275</v>
      </c>
      <c r="N3728">
        <v>4</v>
      </c>
    </row>
    <row r="3729" spans="1:14" x14ac:dyDescent="0.25">
      <c r="A3729" s="3" t="str">
        <f>HYPERLINK("http://www.ncbi.nlm.nih.gov/gene/89874","89874")</f>
        <v>89874</v>
      </c>
      <c r="B3729" s="1" t="s">
        <v>8717</v>
      </c>
      <c r="C3729" t="s">
        <v>8718</v>
      </c>
      <c r="D3729">
        <v>139</v>
      </c>
      <c r="E3729">
        <v>142.69999999999999</v>
      </c>
      <c r="F3729">
        <v>100</v>
      </c>
      <c r="G3729">
        <v>99.7</v>
      </c>
      <c r="H3729">
        <v>145.6</v>
      </c>
      <c r="I3729">
        <v>148.5</v>
      </c>
      <c r="J3729">
        <v>100</v>
      </c>
      <c r="K3729">
        <v>100</v>
      </c>
      <c r="L3729" s="1" t="s">
        <v>8717</v>
      </c>
      <c r="M3729" t="s">
        <v>2188</v>
      </c>
      <c r="N3729">
        <v>3</v>
      </c>
    </row>
    <row r="3730" spans="1:14" x14ac:dyDescent="0.25">
      <c r="A3730" s="3" t="str">
        <f>HYPERLINK("http://www.ncbi.nlm.nih.gov/gene/79751","79751")</f>
        <v>79751</v>
      </c>
      <c r="B3730" s="1" t="s">
        <v>8719</v>
      </c>
      <c r="C3730" t="s">
        <v>8720</v>
      </c>
      <c r="D3730">
        <v>115.4</v>
      </c>
      <c r="E3730">
        <v>115</v>
      </c>
      <c r="F3730">
        <v>98.6</v>
      </c>
      <c r="G3730">
        <v>95.8</v>
      </c>
      <c r="H3730">
        <v>141.5</v>
      </c>
      <c r="I3730">
        <v>144.80000000000001</v>
      </c>
      <c r="J3730">
        <v>100</v>
      </c>
      <c r="K3730">
        <v>100</v>
      </c>
      <c r="L3730" s="1" t="s">
        <v>8719</v>
      </c>
      <c r="M3730" t="s">
        <v>1206</v>
      </c>
      <c r="N3730">
        <v>5</v>
      </c>
    </row>
    <row r="3731" spans="1:14" x14ac:dyDescent="0.25">
      <c r="A3731" s="3" t="str">
        <f>HYPERLINK("http://www.ncbi.nlm.nih.gov/gene/29957","29957")</f>
        <v>29957</v>
      </c>
      <c r="B3731" s="1" t="s">
        <v>8721</v>
      </c>
      <c r="C3731" t="s">
        <v>8722</v>
      </c>
      <c r="D3731">
        <v>140.9</v>
      </c>
      <c r="E3731">
        <v>146.30000000000001</v>
      </c>
      <c r="F3731">
        <v>99.4</v>
      </c>
      <c r="G3731">
        <v>99.3</v>
      </c>
      <c r="H3731">
        <v>145.6</v>
      </c>
      <c r="I3731">
        <v>151.30000000000001</v>
      </c>
      <c r="J3731">
        <v>99.8</v>
      </c>
      <c r="K3731">
        <v>99.8</v>
      </c>
      <c r="L3731" s="1" t="s">
        <v>8721</v>
      </c>
      <c r="M3731" t="s">
        <v>8723</v>
      </c>
      <c r="N3731">
        <v>4</v>
      </c>
    </row>
    <row r="3732" spans="1:14" x14ac:dyDescent="0.25">
      <c r="A3732" s="3" t="str">
        <f>HYPERLINK("http://www.ncbi.nlm.nih.gov/gene/115286","115286")</f>
        <v>115286</v>
      </c>
      <c r="B3732" s="1" t="s">
        <v>8724</v>
      </c>
      <c r="C3732" t="s">
        <v>8725</v>
      </c>
      <c r="D3732">
        <v>114.2</v>
      </c>
      <c r="E3732">
        <v>116.6</v>
      </c>
      <c r="F3732">
        <v>100</v>
      </c>
      <c r="G3732">
        <v>99.5</v>
      </c>
      <c r="H3732">
        <v>120.7</v>
      </c>
      <c r="I3732">
        <v>123.7</v>
      </c>
      <c r="J3732">
        <v>100</v>
      </c>
      <c r="K3732">
        <v>100</v>
      </c>
      <c r="L3732" s="1" t="s">
        <v>8724</v>
      </c>
      <c r="M3732" t="s">
        <v>53</v>
      </c>
      <c r="N3732">
        <v>2</v>
      </c>
    </row>
    <row r="3733" spans="1:14" x14ac:dyDescent="0.25">
      <c r="A3733" s="3" t="str">
        <f>HYPERLINK("http://www.ncbi.nlm.nih.gov/gene/5250","5250")</f>
        <v>5250</v>
      </c>
      <c r="B3733" s="1" t="s">
        <v>8726</v>
      </c>
      <c r="C3733" t="s">
        <v>8727</v>
      </c>
      <c r="D3733">
        <v>136.1</v>
      </c>
      <c r="E3733">
        <v>138.4</v>
      </c>
      <c r="F3733">
        <v>99.8</v>
      </c>
      <c r="G3733">
        <v>98</v>
      </c>
      <c r="H3733">
        <v>143.80000000000001</v>
      </c>
      <c r="I3733">
        <v>148.19999999999999</v>
      </c>
      <c r="J3733">
        <v>100</v>
      </c>
      <c r="K3733">
        <v>100</v>
      </c>
      <c r="L3733" s="1" t="s">
        <v>8726</v>
      </c>
      <c r="M3733" t="s">
        <v>905</v>
      </c>
      <c r="N3733">
        <v>3</v>
      </c>
    </row>
    <row r="3734" spans="1:14" x14ac:dyDescent="0.25">
      <c r="A3734" s="3" t="str">
        <f>HYPERLINK("http://www.ncbi.nlm.nih.gov/gene/81034","81034")</f>
        <v>81034</v>
      </c>
      <c r="B3734" s="1" t="s">
        <v>8728</v>
      </c>
      <c r="C3734" t="s">
        <v>8729</v>
      </c>
      <c r="D3734">
        <v>138.69999999999999</v>
      </c>
      <c r="E3734">
        <v>145.30000000000001</v>
      </c>
      <c r="F3734">
        <v>100</v>
      </c>
      <c r="G3734">
        <v>100</v>
      </c>
      <c r="H3734">
        <v>136.30000000000001</v>
      </c>
      <c r="I3734">
        <v>140.19999999999999</v>
      </c>
      <c r="J3734">
        <v>100</v>
      </c>
      <c r="K3734">
        <v>100</v>
      </c>
      <c r="L3734" s="1" t="s">
        <v>8728</v>
      </c>
      <c r="M3734" t="s">
        <v>2188</v>
      </c>
      <c r="N3734">
        <v>3</v>
      </c>
    </row>
    <row r="3735" spans="1:14" x14ac:dyDescent="0.25">
      <c r="A3735" s="3" t="str">
        <f>HYPERLINK("http://www.ncbi.nlm.nih.gov/gene/51312","51312")</f>
        <v>51312</v>
      </c>
      <c r="B3735" s="1" t="s">
        <v>8730</v>
      </c>
      <c r="C3735" t="s">
        <v>8731</v>
      </c>
      <c r="D3735">
        <v>231.5</v>
      </c>
      <c r="E3735">
        <v>238.3</v>
      </c>
      <c r="F3735">
        <v>100</v>
      </c>
      <c r="G3735">
        <v>100</v>
      </c>
      <c r="H3735">
        <v>156.6</v>
      </c>
      <c r="I3735">
        <v>163.4</v>
      </c>
      <c r="J3735">
        <v>100</v>
      </c>
      <c r="K3735">
        <v>100</v>
      </c>
      <c r="L3735" s="1" t="s">
        <v>8730</v>
      </c>
      <c r="M3735" t="s">
        <v>62</v>
      </c>
      <c r="N3735">
        <v>2</v>
      </c>
    </row>
    <row r="3736" spans="1:14" x14ac:dyDescent="0.25">
      <c r="A3736" s="3" t="str">
        <f>HYPERLINK("http://www.ncbi.nlm.nih.gov/gene/54977","54977")</f>
        <v>54977</v>
      </c>
      <c r="B3736" s="1" t="s">
        <v>8732</v>
      </c>
      <c r="C3736" t="s">
        <v>8733</v>
      </c>
      <c r="D3736">
        <v>111</v>
      </c>
      <c r="E3736">
        <v>112.2</v>
      </c>
      <c r="F3736">
        <v>97.9</v>
      </c>
      <c r="G3736">
        <v>95.3</v>
      </c>
      <c r="H3736">
        <v>141.1</v>
      </c>
      <c r="I3736">
        <v>144.4</v>
      </c>
      <c r="J3736">
        <v>100</v>
      </c>
      <c r="K3736">
        <v>100</v>
      </c>
      <c r="L3736" s="1" t="s">
        <v>8732</v>
      </c>
      <c r="M3736" t="s">
        <v>8734</v>
      </c>
      <c r="N3736">
        <v>6</v>
      </c>
    </row>
    <row r="3737" spans="1:14" x14ac:dyDescent="0.25">
      <c r="A3737" s="3" t="str">
        <f>HYPERLINK("http://www.ncbi.nlm.nih.gov/gene/291","291")</f>
        <v>291</v>
      </c>
      <c r="B3737" s="1" t="s">
        <v>8735</v>
      </c>
      <c r="C3737" t="s">
        <v>8736</v>
      </c>
      <c r="D3737">
        <v>146.69999999999999</v>
      </c>
      <c r="E3737">
        <v>144.80000000000001</v>
      </c>
      <c r="F3737">
        <v>100</v>
      </c>
      <c r="G3737">
        <v>100</v>
      </c>
      <c r="H3737">
        <v>130.5</v>
      </c>
      <c r="I3737">
        <v>133.69999999999999</v>
      </c>
      <c r="J3737">
        <v>100</v>
      </c>
      <c r="K3737">
        <v>100</v>
      </c>
      <c r="L3737" s="1" t="s">
        <v>8735</v>
      </c>
      <c r="M3737" t="s">
        <v>8737</v>
      </c>
      <c r="N3737">
        <v>5</v>
      </c>
    </row>
    <row r="3738" spans="1:14" x14ac:dyDescent="0.25">
      <c r="A3738" s="3" t="str">
        <f>HYPERLINK("http://www.ncbi.nlm.nih.gov/gene/284439","284439")</f>
        <v>284439</v>
      </c>
      <c r="B3738" s="1" t="s">
        <v>8738</v>
      </c>
      <c r="C3738" t="s">
        <v>8739</v>
      </c>
      <c r="D3738">
        <v>127.5</v>
      </c>
      <c r="E3738">
        <v>131.69999999999999</v>
      </c>
      <c r="F3738">
        <v>96.5</v>
      </c>
      <c r="G3738">
        <v>93.2</v>
      </c>
      <c r="H3738">
        <v>136.19999999999999</v>
      </c>
      <c r="I3738">
        <v>139.30000000000001</v>
      </c>
      <c r="J3738">
        <v>100</v>
      </c>
      <c r="K3738">
        <v>100</v>
      </c>
      <c r="L3738" s="1" t="s">
        <v>8738</v>
      </c>
      <c r="M3738" t="s">
        <v>2287</v>
      </c>
      <c r="N3738">
        <v>4</v>
      </c>
    </row>
    <row r="3739" spans="1:14" x14ac:dyDescent="0.25">
      <c r="A3739" s="3" t="str">
        <f>HYPERLINK("http://www.ncbi.nlm.nih.gov/gene/91137","91137")</f>
        <v>91137</v>
      </c>
      <c r="B3739" s="1" t="s">
        <v>8740</v>
      </c>
      <c r="C3739" t="s">
        <v>8741</v>
      </c>
      <c r="D3739">
        <v>185.6</v>
      </c>
      <c r="E3739">
        <v>199.3</v>
      </c>
      <c r="F3739">
        <v>99.7</v>
      </c>
      <c r="G3739">
        <v>97.3</v>
      </c>
      <c r="H3739">
        <v>142.19999999999999</v>
      </c>
      <c r="I3739">
        <v>143.69999999999999</v>
      </c>
      <c r="J3739">
        <v>100</v>
      </c>
      <c r="K3739">
        <v>100</v>
      </c>
      <c r="L3739" s="1" t="s">
        <v>8740</v>
      </c>
      <c r="M3739" t="s">
        <v>8742</v>
      </c>
      <c r="N3739">
        <v>5</v>
      </c>
    </row>
    <row r="3740" spans="1:14" x14ac:dyDescent="0.25">
      <c r="A3740" s="3" t="str">
        <f>HYPERLINK("http://www.ncbi.nlm.nih.gov/gene/10861","10861")</f>
        <v>10861</v>
      </c>
      <c r="B3740" s="1" t="s">
        <v>8743</v>
      </c>
      <c r="C3740" t="s">
        <v>8744</v>
      </c>
      <c r="D3740">
        <v>110.7</v>
      </c>
      <c r="E3740">
        <v>106.8</v>
      </c>
      <c r="F3740">
        <v>100</v>
      </c>
      <c r="G3740">
        <v>99.6</v>
      </c>
      <c r="H3740">
        <v>140.80000000000001</v>
      </c>
      <c r="I3740">
        <v>139</v>
      </c>
      <c r="J3740">
        <v>100</v>
      </c>
      <c r="K3740">
        <v>100</v>
      </c>
      <c r="L3740" s="1" t="s">
        <v>8743</v>
      </c>
      <c r="M3740" t="s">
        <v>357</v>
      </c>
      <c r="N3740">
        <v>3</v>
      </c>
    </row>
    <row r="3741" spans="1:14" x14ac:dyDescent="0.25">
      <c r="A3741" s="3" t="str">
        <f>HYPERLINK("http://www.ncbi.nlm.nih.gov/gene/1836","1836")</f>
        <v>1836</v>
      </c>
      <c r="B3741" s="1" t="s">
        <v>8745</v>
      </c>
      <c r="C3741" t="s">
        <v>8746</v>
      </c>
      <c r="D3741">
        <v>226.4</v>
      </c>
      <c r="E3741">
        <v>234</v>
      </c>
      <c r="F3741">
        <v>100</v>
      </c>
      <c r="G3741">
        <v>100</v>
      </c>
      <c r="H3741">
        <v>148.30000000000001</v>
      </c>
      <c r="I3741">
        <v>149.6</v>
      </c>
      <c r="J3741">
        <v>100</v>
      </c>
      <c r="K3741">
        <v>100</v>
      </c>
      <c r="L3741" s="1" t="s">
        <v>8745</v>
      </c>
      <c r="M3741" t="s">
        <v>8747</v>
      </c>
      <c r="N3741">
        <v>6</v>
      </c>
    </row>
    <row r="3742" spans="1:14" x14ac:dyDescent="0.25">
      <c r="A3742" s="3" t="str">
        <f>HYPERLINK("http://www.ncbi.nlm.nih.gov/gene/1811","1811")</f>
        <v>1811</v>
      </c>
      <c r="B3742" s="1" t="s">
        <v>8748</v>
      </c>
      <c r="C3742" t="s">
        <v>8749</v>
      </c>
      <c r="D3742">
        <v>157.19999999999999</v>
      </c>
      <c r="E3742">
        <v>160.5</v>
      </c>
      <c r="F3742">
        <v>100</v>
      </c>
      <c r="G3742">
        <v>99.5</v>
      </c>
      <c r="H3742">
        <v>136.6</v>
      </c>
      <c r="I3742">
        <v>140.19999999999999</v>
      </c>
      <c r="J3742">
        <v>100</v>
      </c>
      <c r="K3742">
        <v>100</v>
      </c>
      <c r="L3742" s="1" t="s">
        <v>8748</v>
      </c>
      <c r="M3742" t="s">
        <v>357</v>
      </c>
      <c r="N3742">
        <v>3</v>
      </c>
    </row>
    <row r="3743" spans="1:14" x14ac:dyDescent="0.25">
      <c r="A3743" s="3" t="str">
        <f>HYPERLINK("http://www.ncbi.nlm.nih.gov/gene/5172","5172")</f>
        <v>5172</v>
      </c>
      <c r="B3743" s="1" t="s">
        <v>8750</v>
      </c>
      <c r="C3743" t="s">
        <v>8751</v>
      </c>
      <c r="D3743">
        <v>136.1</v>
      </c>
      <c r="E3743">
        <v>141</v>
      </c>
      <c r="F3743">
        <v>100</v>
      </c>
      <c r="G3743">
        <v>99.7</v>
      </c>
      <c r="H3743">
        <v>130.1</v>
      </c>
      <c r="I3743">
        <v>133.4</v>
      </c>
      <c r="J3743">
        <v>100</v>
      </c>
      <c r="K3743">
        <v>100</v>
      </c>
      <c r="L3743" s="1" t="s">
        <v>8750</v>
      </c>
      <c r="M3743" t="s">
        <v>269</v>
      </c>
      <c r="N3743">
        <v>3</v>
      </c>
    </row>
    <row r="3744" spans="1:14" x14ac:dyDescent="0.25">
      <c r="A3744" s="3" t="str">
        <f>HYPERLINK("http://www.ncbi.nlm.nih.gov/gene/375611","375611")</f>
        <v>375611</v>
      </c>
      <c r="B3744" s="1" t="s">
        <v>8752</v>
      </c>
      <c r="C3744" t="s">
        <v>8753</v>
      </c>
      <c r="D3744">
        <v>153.4</v>
      </c>
      <c r="E3744">
        <v>160.1</v>
      </c>
      <c r="F3744">
        <v>99.1</v>
      </c>
      <c r="G3744">
        <v>96.8</v>
      </c>
      <c r="H3744">
        <v>135.69999999999999</v>
      </c>
      <c r="I3744">
        <v>139.9</v>
      </c>
      <c r="J3744">
        <v>100</v>
      </c>
      <c r="K3744">
        <v>100</v>
      </c>
      <c r="L3744" s="1" t="s">
        <v>8752</v>
      </c>
      <c r="M3744" t="s">
        <v>269</v>
      </c>
      <c r="N3744">
        <v>3</v>
      </c>
    </row>
    <row r="3745" spans="1:14" x14ac:dyDescent="0.25">
      <c r="A3745" s="3" t="str">
        <f>HYPERLINK("http://www.ncbi.nlm.nih.gov/gene/116369","116369")</f>
        <v>116369</v>
      </c>
      <c r="B3745" s="1" t="s">
        <v>8754</v>
      </c>
      <c r="C3745" t="s">
        <v>8755</v>
      </c>
      <c r="D3745">
        <v>133</v>
      </c>
      <c r="E3745">
        <v>137.19999999999999</v>
      </c>
      <c r="F3745">
        <v>100</v>
      </c>
      <c r="G3745">
        <v>99.6</v>
      </c>
      <c r="H3745">
        <v>138.80000000000001</v>
      </c>
      <c r="I3745">
        <v>142.9</v>
      </c>
      <c r="J3745">
        <v>100</v>
      </c>
      <c r="K3745">
        <v>100</v>
      </c>
      <c r="L3745" s="1" t="s">
        <v>8754</v>
      </c>
      <c r="M3745" t="s">
        <v>285</v>
      </c>
      <c r="N3745">
        <v>1</v>
      </c>
    </row>
    <row r="3746" spans="1:14" x14ac:dyDescent="0.25">
      <c r="A3746" s="3" t="str">
        <f>HYPERLINK("http://www.ncbi.nlm.nih.gov/gene/10999","10999")</f>
        <v>10999</v>
      </c>
      <c r="B3746" s="1" t="s">
        <v>8756</v>
      </c>
      <c r="C3746" t="s">
        <v>8757</v>
      </c>
      <c r="D3746">
        <v>155.9</v>
      </c>
      <c r="E3746">
        <v>161.30000000000001</v>
      </c>
      <c r="F3746">
        <v>100</v>
      </c>
      <c r="G3746">
        <v>99.8</v>
      </c>
      <c r="H3746">
        <v>145.5</v>
      </c>
      <c r="I3746">
        <v>149.6</v>
      </c>
      <c r="J3746">
        <v>100</v>
      </c>
      <c r="K3746">
        <v>100</v>
      </c>
      <c r="L3746" s="1" t="s">
        <v>8756</v>
      </c>
      <c r="M3746" t="s">
        <v>1901</v>
      </c>
      <c r="N3746">
        <v>3</v>
      </c>
    </row>
    <row r="3747" spans="1:14" x14ac:dyDescent="0.25">
      <c r="A3747" s="3" t="str">
        <f>HYPERLINK("http://www.ncbi.nlm.nih.gov/gene/9154","9154")</f>
        <v>9154</v>
      </c>
      <c r="B3747" s="1" t="s">
        <v>8758</v>
      </c>
      <c r="C3747" t="s">
        <v>8759</v>
      </c>
      <c r="D3747">
        <v>142.69999999999999</v>
      </c>
      <c r="E3747">
        <v>145.80000000000001</v>
      </c>
      <c r="F3747">
        <v>100</v>
      </c>
      <c r="G3747">
        <v>98.8</v>
      </c>
      <c r="H3747">
        <v>129.6</v>
      </c>
      <c r="I3747">
        <v>132.69999999999999</v>
      </c>
      <c r="J3747">
        <v>100</v>
      </c>
      <c r="K3747">
        <v>100</v>
      </c>
      <c r="L3747" s="1" t="s">
        <v>8758</v>
      </c>
      <c r="M3747" t="s">
        <v>93</v>
      </c>
      <c r="N3747">
        <v>2</v>
      </c>
    </row>
    <row r="3748" spans="1:14" x14ac:dyDescent="0.25">
      <c r="A3748" s="3" t="str">
        <f>HYPERLINK("http://www.ncbi.nlm.nih.gov/gene/55315","55315")</f>
        <v>55315</v>
      </c>
      <c r="B3748" s="1" t="s">
        <v>8760</v>
      </c>
      <c r="C3748" t="s">
        <v>8761</v>
      </c>
      <c r="D3748">
        <v>183.7</v>
      </c>
      <c r="E3748">
        <v>192.3</v>
      </c>
      <c r="F3748">
        <v>100</v>
      </c>
      <c r="G3748">
        <v>99.6</v>
      </c>
      <c r="H3748">
        <v>161.5</v>
      </c>
      <c r="I3748">
        <v>165.5</v>
      </c>
      <c r="J3748">
        <v>100</v>
      </c>
      <c r="K3748">
        <v>100</v>
      </c>
      <c r="L3748" s="1" t="s">
        <v>8760</v>
      </c>
      <c r="M3748" t="s">
        <v>8762</v>
      </c>
      <c r="N3748">
        <v>6</v>
      </c>
    </row>
    <row r="3749" spans="1:14" x14ac:dyDescent="0.25">
      <c r="A3749" s="3" t="str">
        <f>HYPERLINK("http://www.ncbi.nlm.nih.gov/gene/6513","6513")</f>
        <v>6513</v>
      </c>
      <c r="B3749" s="1" t="s">
        <v>8763</v>
      </c>
      <c r="C3749" t="s">
        <v>8764</v>
      </c>
      <c r="D3749">
        <v>157.80000000000001</v>
      </c>
      <c r="E3749">
        <v>164.9</v>
      </c>
      <c r="F3749">
        <v>92.8</v>
      </c>
      <c r="G3749">
        <v>92.8</v>
      </c>
      <c r="H3749">
        <v>142.4</v>
      </c>
      <c r="I3749">
        <v>146.69999999999999</v>
      </c>
      <c r="J3749">
        <v>100</v>
      </c>
      <c r="K3749">
        <v>100</v>
      </c>
      <c r="L3749" s="1" t="s">
        <v>8763</v>
      </c>
      <c r="M3749" t="s">
        <v>8765</v>
      </c>
      <c r="N3749">
        <v>6</v>
      </c>
    </row>
    <row r="3750" spans="1:14" x14ac:dyDescent="0.25">
      <c r="A3750" s="3" t="str">
        <f>HYPERLINK("http://www.ncbi.nlm.nih.gov/gene/81031","81031")</f>
        <v>81031</v>
      </c>
      <c r="B3750" s="1" t="s">
        <v>8766</v>
      </c>
      <c r="C3750" t="s">
        <v>8767</v>
      </c>
      <c r="D3750">
        <v>154.1</v>
      </c>
      <c r="E3750">
        <v>158.1</v>
      </c>
      <c r="F3750">
        <v>97.7</v>
      </c>
      <c r="G3750">
        <v>97.7</v>
      </c>
      <c r="H3750">
        <v>175.6</v>
      </c>
      <c r="I3750">
        <v>179.5</v>
      </c>
      <c r="J3750">
        <v>100</v>
      </c>
      <c r="K3750">
        <v>100</v>
      </c>
      <c r="L3750" s="1" t="s">
        <v>8766</v>
      </c>
      <c r="M3750" t="s">
        <v>3040</v>
      </c>
      <c r="N3750">
        <v>5</v>
      </c>
    </row>
    <row r="3751" spans="1:14" x14ac:dyDescent="0.25">
      <c r="A3751" s="3" t="str">
        <f>HYPERLINK("http://www.ncbi.nlm.nih.gov/gene/6514","6514")</f>
        <v>6514</v>
      </c>
      <c r="B3751" s="1" t="s">
        <v>8768</v>
      </c>
      <c r="C3751" t="s">
        <v>8769</v>
      </c>
      <c r="D3751">
        <v>179.9</v>
      </c>
      <c r="E3751">
        <v>183.6</v>
      </c>
      <c r="F3751">
        <v>100</v>
      </c>
      <c r="G3751">
        <v>100</v>
      </c>
      <c r="H3751">
        <v>128.6</v>
      </c>
      <c r="I3751">
        <v>132.5</v>
      </c>
      <c r="J3751">
        <v>100</v>
      </c>
      <c r="K3751">
        <v>100</v>
      </c>
      <c r="L3751" s="1" t="s">
        <v>8768</v>
      </c>
      <c r="M3751" t="s">
        <v>365</v>
      </c>
      <c r="N3751">
        <v>4</v>
      </c>
    </row>
    <row r="3752" spans="1:14" x14ac:dyDescent="0.25">
      <c r="A3752" s="3" t="str">
        <f>HYPERLINK("http://www.ncbi.nlm.nih.gov/gene/56606","56606")</f>
        <v>56606</v>
      </c>
      <c r="B3752" s="1" t="s">
        <v>8770</v>
      </c>
      <c r="C3752" t="s">
        <v>8771</v>
      </c>
      <c r="D3752">
        <v>115</v>
      </c>
      <c r="E3752">
        <v>122.5</v>
      </c>
      <c r="F3752">
        <v>99.8</v>
      </c>
      <c r="G3752">
        <v>96.1</v>
      </c>
      <c r="H3752">
        <v>127.8</v>
      </c>
      <c r="I3752">
        <v>131.80000000000001</v>
      </c>
      <c r="J3752">
        <v>100</v>
      </c>
      <c r="K3752">
        <v>100</v>
      </c>
      <c r="L3752" s="1" t="s">
        <v>8770</v>
      </c>
      <c r="M3752" t="s">
        <v>8772</v>
      </c>
      <c r="N3752">
        <v>4</v>
      </c>
    </row>
    <row r="3753" spans="1:14" x14ac:dyDescent="0.25">
      <c r="A3753" s="3" t="str">
        <f>HYPERLINK("http://www.ncbi.nlm.nih.gov/gene/55532","55532")</f>
        <v>55532</v>
      </c>
      <c r="B3753" s="1" t="s">
        <v>8773</v>
      </c>
      <c r="C3753" t="s">
        <v>8774</v>
      </c>
      <c r="D3753">
        <v>176.7</v>
      </c>
      <c r="E3753">
        <v>168.1</v>
      </c>
      <c r="F3753">
        <v>100</v>
      </c>
      <c r="G3753">
        <v>100</v>
      </c>
      <c r="H3753">
        <v>145.9</v>
      </c>
      <c r="I3753">
        <v>147.30000000000001</v>
      </c>
      <c r="J3753">
        <v>100</v>
      </c>
      <c r="K3753">
        <v>100</v>
      </c>
      <c r="L3753" s="1" t="s">
        <v>8773</v>
      </c>
      <c r="M3753" t="s">
        <v>8775</v>
      </c>
      <c r="N3753">
        <v>5</v>
      </c>
    </row>
    <row r="3754" spans="1:14" x14ac:dyDescent="0.25">
      <c r="A3754" s="3" t="str">
        <f>HYPERLINK("http://www.ncbi.nlm.nih.gov/gene/7780","7780")</f>
        <v>7780</v>
      </c>
      <c r="B3754" s="1" t="s">
        <v>8776</v>
      </c>
      <c r="C3754" t="s">
        <v>8777</v>
      </c>
      <c r="D3754">
        <v>129.80000000000001</v>
      </c>
      <c r="E3754">
        <v>133.80000000000001</v>
      </c>
      <c r="F3754">
        <v>100</v>
      </c>
      <c r="G3754">
        <v>99</v>
      </c>
      <c r="H3754">
        <v>128</v>
      </c>
      <c r="I3754">
        <v>131.69999999999999</v>
      </c>
      <c r="J3754">
        <v>100</v>
      </c>
      <c r="K3754">
        <v>100</v>
      </c>
      <c r="L3754" s="1" t="s">
        <v>8776</v>
      </c>
      <c r="M3754" t="s">
        <v>285</v>
      </c>
      <c r="N3754">
        <v>1</v>
      </c>
    </row>
    <row r="3755" spans="1:14" x14ac:dyDescent="0.25">
      <c r="A3755" s="3" t="str">
        <f>HYPERLINK("http://www.ncbi.nlm.nih.gov/gene/10463","10463")</f>
        <v>10463</v>
      </c>
      <c r="B3755" s="1" t="s">
        <v>8778</v>
      </c>
      <c r="C3755" t="s">
        <v>8779</v>
      </c>
      <c r="D3755">
        <v>100.8</v>
      </c>
      <c r="E3755">
        <v>102.9</v>
      </c>
      <c r="F3755">
        <v>98.8</v>
      </c>
      <c r="G3755">
        <v>94.2</v>
      </c>
      <c r="H3755">
        <v>119.8</v>
      </c>
      <c r="I3755">
        <v>122.7</v>
      </c>
      <c r="J3755">
        <v>100</v>
      </c>
      <c r="K3755">
        <v>100</v>
      </c>
      <c r="L3755" s="1" t="s">
        <v>8778</v>
      </c>
      <c r="M3755" t="s">
        <v>53</v>
      </c>
      <c r="N3755">
        <v>2</v>
      </c>
    </row>
    <row r="3756" spans="1:14" x14ac:dyDescent="0.25">
      <c r="A3756" s="3" t="str">
        <f>HYPERLINK("http://www.ncbi.nlm.nih.gov/gene/9197","9197")</f>
        <v>9197</v>
      </c>
      <c r="B3756" s="1" t="s">
        <v>8780</v>
      </c>
      <c r="C3756" t="s">
        <v>8781</v>
      </c>
      <c r="D3756">
        <v>150.30000000000001</v>
      </c>
      <c r="E3756">
        <v>156.19999999999999</v>
      </c>
      <c r="F3756">
        <v>99.9</v>
      </c>
      <c r="G3756">
        <v>98.9</v>
      </c>
      <c r="H3756">
        <v>138.69999999999999</v>
      </c>
      <c r="I3756">
        <v>141.30000000000001</v>
      </c>
      <c r="J3756">
        <v>100</v>
      </c>
      <c r="K3756">
        <v>100</v>
      </c>
      <c r="L3756" s="1" t="s">
        <v>8780</v>
      </c>
      <c r="M3756" t="s">
        <v>8782</v>
      </c>
      <c r="N3756">
        <v>7</v>
      </c>
    </row>
    <row r="3757" spans="1:14" x14ac:dyDescent="0.25">
      <c r="A3757" s="3" t="str">
        <f>HYPERLINK("http://www.ncbi.nlm.nih.gov/gene/6569","6569")</f>
        <v>6569</v>
      </c>
      <c r="B3757" s="1" t="s">
        <v>8783</v>
      </c>
      <c r="C3757" t="s">
        <v>8784</v>
      </c>
      <c r="D3757">
        <v>142.30000000000001</v>
      </c>
      <c r="E3757">
        <v>143.4</v>
      </c>
      <c r="F3757">
        <v>99.9</v>
      </c>
      <c r="G3757">
        <v>99.1</v>
      </c>
      <c r="H3757">
        <v>156.9</v>
      </c>
      <c r="I3757">
        <v>160.9</v>
      </c>
      <c r="J3757">
        <v>100</v>
      </c>
      <c r="K3757">
        <v>100</v>
      </c>
      <c r="L3757" s="1" t="s">
        <v>8783</v>
      </c>
      <c r="M3757" t="s">
        <v>690</v>
      </c>
      <c r="N3757">
        <v>3</v>
      </c>
    </row>
    <row r="3758" spans="1:14" x14ac:dyDescent="0.25">
      <c r="A3758" s="3" t="str">
        <f>HYPERLINK("http://www.ncbi.nlm.nih.gov/gene/10568","10568")</f>
        <v>10568</v>
      </c>
      <c r="B3758" s="1" t="s">
        <v>8785</v>
      </c>
      <c r="C3758" t="s">
        <v>8786</v>
      </c>
      <c r="D3758">
        <v>155.80000000000001</v>
      </c>
      <c r="E3758">
        <v>162.30000000000001</v>
      </c>
      <c r="F3758">
        <v>100</v>
      </c>
      <c r="G3758">
        <v>100</v>
      </c>
      <c r="H3758">
        <v>151.1</v>
      </c>
      <c r="I3758">
        <v>155.6</v>
      </c>
      <c r="J3758">
        <v>100</v>
      </c>
      <c r="K3758">
        <v>100</v>
      </c>
      <c r="L3758" s="1" t="s">
        <v>8785</v>
      </c>
      <c r="M3758" t="s">
        <v>53</v>
      </c>
      <c r="N3758">
        <v>2</v>
      </c>
    </row>
    <row r="3759" spans="1:14" x14ac:dyDescent="0.25">
      <c r="A3759" s="3" t="str">
        <f>HYPERLINK("http://www.ncbi.nlm.nih.gov/gene/142680","142680")</f>
        <v>142680</v>
      </c>
      <c r="B3759" s="1" t="s">
        <v>8787</v>
      </c>
      <c r="C3759" t="s">
        <v>8788</v>
      </c>
      <c r="D3759">
        <v>132.6</v>
      </c>
      <c r="E3759">
        <v>139.6</v>
      </c>
      <c r="F3759">
        <v>100</v>
      </c>
      <c r="G3759">
        <v>99.4</v>
      </c>
      <c r="H3759">
        <v>133</v>
      </c>
      <c r="I3759">
        <v>135.5</v>
      </c>
      <c r="J3759">
        <v>100</v>
      </c>
      <c r="K3759">
        <v>100</v>
      </c>
      <c r="L3759" s="1" t="s">
        <v>8787</v>
      </c>
      <c r="M3759" t="s">
        <v>2745</v>
      </c>
      <c r="N3759">
        <v>4</v>
      </c>
    </row>
    <row r="3760" spans="1:14" x14ac:dyDescent="0.25">
      <c r="A3760" s="3" t="str">
        <f>HYPERLINK("http://www.ncbi.nlm.nih.gov/gene/10559","10559")</f>
        <v>10559</v>
      </c>
      <c r="B3760" s="1" t="s">
        <v>8789</v>
      </c>
      <c r="C3760" t="s">
        <v>8790</v>
      </c>
      <c r="D3760">
        <v>145.9</v>
      </c>
      <c r="E3760">
        <v>150.9</v>
      </c>
      <c r="F3760">
        <v>100</v>
      </c>
      <c r="G3760">
        <v>99.7</v>
      </c>
      <c r="H3760">
        <v>126.8</v>
      </c>
      <c r="I3760">
        <v>130.1</v>
      </c>
      <c r="J3760">
        <v>100</v>
      </c>
      <c r="K3760">
        <v>100</v>
      </c>
      <c r="L3760" s="1" t="s">
        <v>8789</v>
      </c>
      <c r="M3760" t="s">
        <v>2853</v>
      </c>
      <c r="N3760">
        <v>5</v>
      </c>
    </row>
    <row r="3761" spans="1:14" x14ac:dyDescent="0.25">
      <c r="A3761" s="3" t="str">
        <f>HYPERLINK("http://www.ncbi.nlm.nih.gov/gene/7355","7355")</f>
        <v>7355</v>
      </c>
      <c r="B3761" s="1" t="s">
        <v>8791</v>
      </c>
      <c r="C3761" t="s">
        <v>8792</v>
      </c>
      <c r="D3761">
        <v>113.9</v>
      </c>
      <c r="E3761">
        <v>115.7</v>
      </c>
      <c r="F3761">
        <v>99.9</v>
      </c>
      <c r="G3761">
        <v>98.4</v>
      </c>
      <c r="H3761">
        <v>151.4</v>
      </c>
      <c r="I3761">
        <v>153.69999999999999</v>
      </c>
      <c r="J3761">
        <v>100</v>
      </c>
      <c r="K3761">
        <v>100</v>
      </c>
      <c r="L3761" s="1" t="s">
        <v>8791</v>
      </c>
      <c r="M3761" t="s">
        <v>8793</v>
      </c>
      <c r="N3761">
        <v>4</v>
      </c>
    </row>
    <row r="3762" spans="1:14" x14ac:dyDescent="0.25">
      <c r="A3762" s="3" t="str">
        <f>HYPERLINK("http://www.ncbi.nlm.nih.gov/gene/23443","23443")</f>
        <v>23443</v>
      </c>
      <c r="B3762" s="1" t="s">
        <v>8794</v>
      </c>
      <c r="C3762" t="s">
        <v>8795</v>
      </c>
      <c r="D3762">
        <v>82.2</v>
      </c>
      <c r="E3762">
        <v>85.2</v>
      </c>
      <c r="F3762">
        <v>80.7</v>
      </c>
      <c r="G3762">
        <v>78.599999999999994</v>
      </c>
      <c r="H3762">
        <v>95.5</v>
      </c>
      <c r="I3762">
        <v>98.6</v>
      </c>
      <c r="J3762">
        <v>81.099999999999994</v>
      </c>
      <c r="K3762">
        <v>81</v>
      </c>
      <c r="L3762" s="1" t="s">
        <v>8794</v>
      </c>
      <c r="M3762" t="s">
        <v>38</v>
      </c>
      <c r="N3762">
        <v>4</v>
      </c>
    </row>
    <row r="3763" spans="1:14" x14ac:dyDescent="0.25">
      <c r="A3763" s="3" t="str">
        <f>HYPERLINK("http://www.ncbi.nlm.nih.gov/gene/55343","55343")</f>
        <v>55343</v>
      </c>
      <c r="B3763" s="1" t="s">
        <v>8796</v>
      </c>
      <c r="C3763" t="s">
        <v>8797</v>
      </c>
      <c r="D3763">
        <v>151.19999999999999</v>
      </c>
      <c r="E3763">
        <v>162.1</v>
      </c>
      <c r="F3763">
        <v>99.9</v>
      </c>
      <c r="G3763">
        <v>98.7</v>
      </c>
      <c r="H3763">
        <v>162.19999999999999</v>
      </c>
      <c r="I3763">
        <v>164.1</v>
      </c>
      <c r="J3763">
        <v>100</v>
      </c>
      <c r="K3763">
        <v>100</v>
      </c>
      <c r="L3763" s="1" t="s">
        <v>8796</v>
      </c>
      <c r="M3763" t="s">
        <v>5606</v>
      </c>
      <c r="N3763">
        <v>6</v>
      </c>
    </row>
    <row r="3764" spans="1:14" x14ac:dyDescent="0.25">
      <c r="A3764" s="3" t="str">
        <f>HYPERLINK("http://www.ncbi.nlm.nih.gov/gene/23169","23169")</f>
        <v>23169</v>
      </c>
      <c r="B3764" s="1" t="s">
        <v>8798</v>
      </c>
      <c r="C3764" t="s">
        <v>8799</v>
      </c>
      <c r="D3764">
        <v>132.19999999999999</v>
      </c>
      <c r="E3764">
        <v>135.30000000000001</v>
      </c>
      <c r="F3764">
        <v>100</v>
      </c>
      <c r="G3764">
        <v>97.7</v>
      </c>
      <c r="H3764">
        <v>116</v>
      </c>
      <c r="I3764">
        <v>118.7</v>
      </c>
      <c r="J3764">
        <v>100</v>
      </c>
      <c r="K3764">
        <v>100</v>
      </c>
      <c r="L3764" s="1" t="s">
        <v>8798</v>
      </c>
      <c r="M3764" t="s">
        <v>351</v>
      </c>
      <c r="N3764">
        <v>4</v>
      </c>
    </row>
    <row r="3765" spans="1:14" x14ac:dyDescent="0.25">
      <c r="A3765" s="3" t="str">
        <f>HYPERLINK("http://www.ncbi.nlm.nih.gov/gene/153201","153201")</f>
        <v>153201</v>
      </c>
      <c r="B3765" s="1" t="s">
        <v>8800</v>
      </c>
      <c r="C3765" t="s">
        <v>8801</v>
      </c>
      <c r="D3765">
        <v>118.4</v>
      </c>
      <c r="E3765">
        <v>123.4</v>
      </c>
      <c r="F3765">
        <v>100</v>
      </c>
      <c r="G3765">
        <v>100</v>
      </c>
      <c r="H3765">
        <v>135.4</v>
      </c>
      <c r="I3765">
        <v>140.1</v>
      </c>
      <c r="J3765">
        <v>100</v>
      </c>
      <c r="K3765">
        <v>100</v>
      </c>
      <c r="L3765" s="1" t="s">
        <v>8800</v>
      </c>
      <c r="M3765" t="s">
        <v>8802</v>
      </c>
      <c r="N3765">
        <v>2</v>
      </c>
    </row>
    <row r="3766" spans="1:14" x14ac:dyDescent="0.25">
      <c r="A3766" s="3" t="str">
        <f>HYPERLINK("http://www.ncbi.nlm.nih.gov/gene/2542","2542")</f>
        <v>2542</v>
      </c>
      <c r="B3766" s="1" t="s">
        <v>8803</v>
      </c>
      <c r="C3766" t="s">
        <v>8804</v>
      </c>
      <c r="D3766">
        <v>119.6</v>
      </c>
      <c r="E3766">
        <v>124.2</v>
      </c>
      <c r="F3766">
        <v>100</v>
      </c>
      <c r="G3766">
        <v>99.2</v>
      </c>
      <c r="H3766">
        <v>109.3</v>
      </c>
      <c r="I3766">
        <v>112</v>
      </c>
      <c r="J3766">
        <v>100</v>
      </c>
      <c r="K3766">
        <v>100</v>
      </c>
      <c r="L3766" s="1" t="s">
        <v>8803</v>
      </c>
      <c r="M3766" t="s">
        <v>8805</v>
      </c>
      <c r="N3766">
        <v>6</v>
      </c>
    </row>
    <row r="3767" spans="1:14" x14ac:dyDescent="0.25">
      <c r="A3767" s="3" t="str">
        <f>HYPERLINK("http://www.ncbi.nlm.nih.gov/gene/146167","146167")</f>
        <v>146167</v>
      </c>
      <c r="B3767" s="1" t="s">
        <v>8806</v>
      </c>
      <c r="C3767" t="s">
        <v>8807</v>
      </c>
      <c r="D3767">
        <v>80.400000000000006</v>
      </c>
      <c r="E3767">
        <v>84.4</v>
      </c>
      <c r="F3767">
        <v>99.9</v>
      </c>
      <c r="G3767">
        <v>97.3</v>
      </c>
      <c r="H3767">
        <v>147.19999999999999</v>
      </c>
      <c r="I3767">
        <v>152.1</v>
      </c>
      <c r="J3767">
        <v>100</v>
      </c>
      <c r="K3767">
        <v>100</v>
      </c>
      <c r="L3767" s="1" t="s">
        <v>8806</v>
      </c>
      <c r="M3767" t="s">
        <v>56</v>
      </c>
      <c r="N3767">
        <v>3</v>
      </c>
    </row>
    <row r="3768" spans="1:14" x14ac:dyDescent="0.25">
      <c r="A3768" s="3" t="str">
        <f>HYPERLINK("http://www.ncbi.nlm.nih.gov/gene/91252","91252")</f>
        <v>91252</v>
      </c>
      <c r="B3768" s="1" t="s">
        <v>8808</v>
      </c>
      <c r="C3768" t="s">
        <v>8809</v>
      </c>
      <c r="D3768">
        <v>141.69999999999999</v>
      </c>
      <c r="E3768">
        <v>141.5</v>
      </c>
      <c r="F3768">
        <v>99.8</v>
      </c>
      <c r="G3768">
        <v>98.2</v>
      </c>
      <c r="H3768">
        <v>150.30000000000001</v>
      </c>
      <c r="I3768">
        <v>154.1</v>
      </c>
      <c r="J3768">
        <v>100</v>
      </c>
      <c r="K3768">
        <v>100</v>
      </c>
      <c r="L3768" s="1" t="s">
        <v>8808</v>
      </c>
      <c r="M3768" t="s">
        <v>239</v>
      </c>
      <c r="N3768">
        <v>4</v>
      </c>
    </row>
    <row r="3769" spans="1:14" x14ac:dyDescent="0.25">
      <c r="A3769" s="3" t="str">
        <f>HYPERLINK("http://www.ncbi.nlm.nih.gov/gene/23516","23516")</f>
        <v>23516</v>
      </c>
      <c r="B3769" s="1" t="s">
        <v>8810</v>
      </c>
      <c r="C3769" t="s">
        <v>8811</v>
      </c>
      <c r="D3769">
        <v>107.2</v>
      </c>
      <c r="E3769">
        <v>109.2</v>
      </c>
      <c r="F3769">
        <v>100</v>
      </c>
      <c r="G3769">
        <v>99.4</v>
      </c>
      <c r="H3769">
        <v>138.5</v>
      </c>
      <c r="I3769">
        <v>142.9</v>
      </c>
      <c r="J3769">
        <v>93.5</v>
      </c>
      <c r="K3769">
        <v>93.5</v>
      </c>
      <c r="L3769" s="1" t="s">
        <v>8810</v>
      </c>
      <c r="M3769" t="s">
        <v>8812</v>
      </c>
      <c r="N3769">
        <v>6</v>
      </c>
    </row>
    <row r="3770" spans="1:14" x14ac:dyDescent="0.25">
      <c r="A3770" s="3" t="str">
        <f>HYPERLINK("http://www.ncbi.nlm.nih.gov/gene/55630","55630")</f>
        <v>55630</v>
      </c>
      <c r="B3770" s="1" t="s">
        <v>8813</v>
      </c>
      <c r="C3770" t="s">
        <v>8814</v>
      </c>
      <c r="D3770">
        <v>98.2</v>
      </c>
      <c r="E3770">
        <v>100.1</v>
      </c>
      <c r="F3770">
        <v>99.5</v>
      </c>
      <c r="G3770">
        <v>95.5</v>
      </c>
      <c r="H3770">
        <v>150.1</v>
      </c>
      <c r="I3770">
        <v>154.30000000000001</v>
      </c>
      <c r="J3770">
        <v>100</v>
      </c>
      <c r="K3770">
        <v>100</v>
      </c>
      <c r="L3770" s="1" t="s">
        <v>8813</v>
      </c>
      <c r="M3770" t="s">
        <v>8815</v>
      </c>
      <c r="N3770">
        <v>5</v>
      </c>
    </row>
    <row r="3771" spans="1:14" x14ac:dyDescent="0.25">
      <c r="A3771" s="3" t="str">
        <f>HYPERLINK("http://www.ncbi.nlm.nih.gov/gene/283375","283375")</f>
        <v>283375</v>
      </c>
      <c r="B3771" s="1" t="s">
        <v>8816</v>
      </c>
      <c r="C3771" t="s">
        <v>8817</v>
      </c>
      <c r="D3771">
        <v>137.30000000000001</v>
      </c>
      <c r="E3771">
        <v>145.30000000000001</v>
      </c>
      <c r="F3771">
        <v>99.9</v>
      </c>
      <c r="G3771">
        <v>99</v>
      </c>
      <c r="H3771">
        <v>164.1</v>
      </c>
      <c r="I3771">
        <v>168.9</v>
      </c>
      <c r="J3771">
        <v>100</v>
      </c>
      <c r="K3771">
        <v>100</v>
      </c>
      <c r="L3771" s="1" t="s">
        <v>8816</v>
      </c>
      <c r="M3771" t="s">
        <v>302</v>
      </c>
      <c r="N3771">
        <v>2</v>
      </c>
    </row>
    <row r="3772" spans="1:14" x14ac:dyDescent="0.25">
      <c r="A3772" s="3" t="str">
        <f>HYPERLINK("http://www.ncbi.nlm.nih.gov/gene/7922","7922")</f>
        <v>7922</v>
      </c>
      <c r="B3772" s="1" t="s">
        <v>8818</v>
      </c>
      <c r="C3772" t="s">
        <v>8819</v>
      </c>
      <c r="D3772">
        <v>145.69999999999999</v>
      </c>
      <c r="E3772">
        <v>149</v>
      </c>
      <c r="F3772">
        <v>100</v>
      </c>
      <c r="G3772">
        <v>100</v>
      </c>
      <c r="H3772">
        <v>245</v>
      </c>
      <c r="I3772">
        <v>251.9</v>
      </c>
      <c r="J3772">
        <v>100</v>
      </c>
      <c r="K3772">
        <v>100</v>
      </c>
      <c r="L3772" s="1" t="s">
        <v>8818</v>
      </c>
      <c r="M3772" t="s">
        <v>502</v>
      </c>
      <c r="N3772">
        <v>2</v>
      </c>
    </row>
    <row r="3773" spans="1:14" x14ac:dyDescent="0.25">
      <c r="A3773" s="3" t="str">
        <f>HYPERLINK("http://www.ncbi.nlm.nih.gov/gene/64116","64116")</f>
        <v>64116</v>
      </c>
      <c r="B3773" s="1" t="s">
        <v>8820</v>
      </c>
      <c r="C3773" t="s">
        <v>8821</v>
      </c>
      <c r="D3773">
        <v>139.6</v>
      </c>
      <c r="E3773">
        <v>145</v>
      </c>
      <c r="F3773">
        <v>100</v>
      </c>
      <c r="G3773">
        <v>99.7</v>
      </c>
      <c r="H3773">
        <v>144.69999999999999</v>
      </c>
      <c r="I3773">
        <v>149.69999999999999</v>
      </c>
      <c r="J3773">
        <v>100</v>
      </c>
      <c r="K3773">
        <v>100</v>
      </c>
      <c r="L3773" s="1" t="s">
        <v>8820</v>
      </c>
      <c r="M3773" t="s">
        <v>1330</v>
      </c>
      <c r="N3773">
        <v>5</v>
      </c>
    </row>
    <row r="3774" spans="1:14" x14ac:dyDescent="0.25">
      <c r="A3774" s="3" t="str">
        <f>HYPERLINK("http://www.ncbi.nlm.nih.gov/gene/6519","6519")</f>
        <v>6519</v>
      </c>
      <c r="B3774" s="1" t="s">
        <v>8822</v>
      </c>
      <c r="C3774" t="s">
        <v>8823</v>
      </c>
      <c r="D3774">
        <v>158</v>
      </c>
      <c r="E3774">
        <v>161.69999999999999</v>
      </c>
      <c r="F3774">
        <v>100</v>
      </c>
      <c r="G3774">
        <v>99.8</v>
      </c>
      <c r="H3774">
        <v>141.6</v>
      </c>
      <c r="I3774">
        <v>146.5</v>
      </c>
      <c r="J3774">
        <v>96.6</v>
      </c>
      <c r="K3774">
        <v>96.6</v>
      </c>
      <c r="L3774" s="1" t="s">
        <v>8822</v>
      </c>
      <c r="M3774" t="s">
        <v>8824</v>
      </c>
      <c r="N3774">
        <v>4</v>
      </c>
    </row>
    <row r="3775" spans="1:14" x14ac:dyDescent="0.25">
      <c r="A3775" s="3" t="str">
        <f>HYPERLINK("http://www.ncbi.nlm.nih.gov/gene/30061","30061")</f>
        <v>30061</v>
      </c>
      <c r="B3775" s="1" t="s">
        <v>8825</v>
      </c>
      <c r="C3775" t="s">
        <v>8826</v>
      </c>
      <c r="D3775">
        <v>127.5</v>
      </c>
      <c r="E3775">
        <v>134.9</v>
      </c>
      <c r="F3775">
        <v>100</v>
      </c>
      <c r="G3775">
        <v>99.5</v>
      </c>
      <c r="H3775">
        <v>135.30000000000001</v>
      </c>
      <c r="I3775">
        <v>138.30000000000001</v>
      </c>
      <c r="J3775">
        <v>100</v>
      </c>
      <c r="K3775">
        <v>100</v>
      </c>
      <c r="L3775" s="1" t="s">
        <v>8825</v>
      </c>
      <c r="M3775" t="s">
        <v>8827</v>
      </c>
      <c r="N3775">
        <v>3</v>
      </c>
    </row>
    <row r="3776" spans="1:14" x14ac:dyDescent="0.25">
      <c r="A3776" s="3" t="str">
        <f>HYPERLINK("http://www.ncbi.nlm.nih.gov/gene/254428","254428")</f>
        <v>254428</v>
      </c>
      <c r="B3776" s="1" t="s">
        <v>8828</v>
      </c>
      <c r="C3776" t="s">
        <v>8829</v>
      </c>
      <c r="D3776">
        <v>156.5</v>
      </c>
      <c r="E3776">
        <v>166.5</v>
      </c>
      <c r="F3776">
        <v>100</v>
      </c>
      <c r="G3776">
        <v>100</v>
      </c>
      <c r="H3776">
        <v>143.5</v>
      </c>
      <c r="I3776">
        <v>147.80000000000001</v>
      </c>
      <c r="J3776">
        <v>100</v>
      </c>
      <c r="K3776">
        <v>100</v>
      </c>
      <c r="L3776" s="1" t="s">
        <v>8828</v>
      </c>
      <c r="M3776" t="s">
        <v>998</v>
      </c>
      <c r="N3776">
        <v>2</v>
      </c>
    </row>
    <row r="3777" spans="1:14" x14ac:dyDescent="0.25">
      <c r="A3777" s="3" t="str">
        <f>HYPERLINK("http://www.ncbi.nlm.nih.gov/gene/23446","23446")</f>
        <v>23446</v>
      </c>
      <c r="B3777" s="1" t="s">
        <v>8830</v>
      </c>
      <c r="C3777" t="s">
        <v>8831</v>
      </c>
      <c r="D3777">
        <v>172.5</v>
      </c>
      <c r="E3777">
        <v>178.3</v>
      </c>
      <c r="F3777">
        <v>98.2</v>
      </c>
      <c r="G3777">
        <v>98.2</v>
      </c>
      <c r="H3777">
        <v>137.69999999999999</v>
      </c>
      <c r="I3777">
        <v>141.80000000000001</v>
      </c>
      <c r="J3777">
        <v>100</v>
      </c>
      <c r="K3777">
        <v>100</v>
      </c>
      <c r="L3777" s="1" t="s">
        <v>8830</v>
      </c>
      <c r="M3777" t="s">
        <v>93</v>
      </c>
      <c r="N3777">
        <v>2</v>
      </c>
    </row>
    <row r="3778" spans="1:14" x14ac:dyDescent="0.25">
      <c r="A3778" s="3" t="str">
        <f>HYPERLINK("http://www.ncbi.nlm.nih.gov/gene/80736","80736")</f>
        <v>80736</v>
      </c>
      <c r="B3778" s="1" t="s">
        <v>8832</v>
      </c>
      <c r="C3778" t="s">
        <v>8833</v>
      </c>
      <c r="D3778">
        <v>136.30000000000001</v>
      </c>
      <c r="E3778">
        <v>138.19999999999999</v>
      </c>
      <c r="F3778">
        <v>100</v>
      </c>
      <c r="G3778">
        <v>99.5</v>
      </c>
      <c r="H3778">
        <v>216.6</v>
      </c>
      <c r="I3778">
        <v>221.2</v>
      </c>
      <c r="J3778">
        <v>100</v>
      </c>
      <c r="K3778">
        <v>100</v>
      </c>
      <c r="L3778" s="1" t="s">
        <v>8832</v>
      </c>
      <c r="M3778" t="s">
        <v>76</v>
      </c>
      <c r="N3778">
        <v>2</v>
      </c>
    </row>
    <row r="3779" spans="1:14" x14ac:dyDescent="0.25">
      <c r="A3779" s="3" t="str">
        <f>HYPERLINK("http://www.ncbi.nlm.nih.gov/gene/50651","50651")</f>
        <v>50651</v>
      </c>
      <c r="B3779" s="1" t="s">
        <v>8834</v>
      </c>
      <c r="C3779" t="s">
        <v>8835</v>
      </c>
      <c r="D3779">
        <v>165.1</v>
      </c>
      <c r="E3779">
        <v>172.2</v>
      </c>
      <c r="F3779">
        <v>100</v>
      </c>
      <c r="G3779">
        <v>99.6</v>
      </c>
      <c r="H3779">
        <v>158.9</v>
      </c>
      <c r="I3779">
        <v>160.30000000000001</v>
      </c>
      <c r="J3779">
        <v>100</v>
      </c>
      <c r="K3779">
        <v>100</v>
      </c>
      <c r="L3779" s="1" t="s">
        <v>8834</v>
      </c>
      <c r="M3779" t="s">
        <v>53</v>
      </c>
      <c r="N3779">
        <v>2</v>
      </c>
    </row>
    <row r="3780" spans="1:14" x14ac:dyDescent="0.25">
      <c r="A3780" s="3" t="str">
        <f>HYPERLINK("http://www.ncbi.nlm.nih.gov/gene/51151","51151")</f>
        <v>51151</v>
      </c>
      <c r="B3780" s="1" t="s">
        <v>8836</v>
      </c>
      <c r="C3780" t="s">
        <v>8837</v>
      </c>
      <c r="D3780">
        <v>132.1</v>
      </c>
      <c r="E3780">
        <v>137.69999999999999</v>
      </c>
      <c r="F3780">
        <v>100</v>
      </c>
      <c r="G3780">
        <v>99.9</v>
      </c>
      <c r="H3780">
        <v>187.4</v>
      </c>
      <c r="I3780">
        <v>194.3</v>
      </c>
      <c r="J3780">
        <v>100</v>
      </c>
      <c r="K3780">
        <v>100</v>
      </c>
      <c r="L3780" s="1" t="s">
        <v>8836</v>
      </c>
      <c r="M3780" t="s">
        <v>8838</v>
      </c>
      <c r="N3780">
        <v>4</v>
      </c>
    </row>
    <row r="3781" spans="1:14" x14ac:dyDescent="0.25">
      <c r="A3781" s="3" t="str">
        <f>HYPERLINK("http://www.ncbi.nlm.nih.gov/gene/113235","113235")</f>
        <v>113235</v>
      </c>
      <c r="B3781" s="1" t="s">
        <v>8839</v>
      </c>
      <c r="C3781" t="s">
        <v>8840</v>
      </c>
      <c r="D3781">
        <v>113.1</v>
      </c>
      <c r="E3781">
        <v>116.3</v>
      </c>
      <c r="F3781">
        <v>99.9</v>
      </c>
      <c r="G3781">
        <v>98.5</v>
      </c>
      <c r="H3781">
        <v>146.30000000000001</v>
      </c>
      <c r="I3781">
        <v>148.80000000000001</v>
      </c>
      <c r="J3781">
        <v>100</v>
      </c>
      <c r="K3781">
        <v>100</v>
      </c>
      <c r="L3781" s="1" t="s">
        <v>8839</v>
      </c>
      <c r="M3781" t="s">
        <v>8841</v>
      </c>
      <c r="N3781">
        <v>7</v>
      </c>
    </row>
    <row r="3782" spans="1:14" x14ac:dyDescent="0.25">
      <c r="A3782" s="3" t="str">
        <f>HYPERLINK("http://www.ncbi.nlm.nih.gov/gene/6521","6521")</f>
        <v>6521</v>
      </c>
      <c r="B3782" s="1" t="s">
        <v>8842</v>
      </c>
      <c r="C3782" t="s">
        <v>8843</v>
      </c>
      <c r="D3782">
        <v>152</v>
      </c>
      <c r="E3782">
        <v>157.1</v>
      </c>
      <c r="F3782">
        <v>100</v>
      </c>
      <c r="G3782">
        <v>99.8</v>
      </c>
      <c r="H3782">
        <v>139.80000000000001</v>
      </c>
      <c r="I3782">
        <v>144.30000000000001</v>
      </c>
      <c r="J3782">
        <v>96.1</v>
      </c>
      <c r="K3782">
        <v>96.1</v>
      </c>
      <c r="L3782" s="1" t="s">
        <v>8842</v>
      </c>
      <c r="M3782" t="s">
        <v>690</v>
      </c>
      <c r="N3782">
        <v>3</v>
      </c>
    </row>
    <row r="3783" spans="1:14" x14ac:dyDescent="0.25">
      <c r="A3783" s="3" t="str">
        <f>HYPERLINK("http://www.ncbi.nlm.nih.gov/gene/83959","83959")</f>
        <v>83959</v>
      </c>
      <c r="B3783" s="1" t="s">
        <v>8844</v>
      </c>
      <c r="C3783" t="s">
        <v>8845</v>
      </c>
      <c r="D3783">
        <v>169.7</v>
      </c>
      <c r="E3783">
        <v>174.2</v>
      </c>
      <c r="F3783">
        <v>100</v>
      </c>
      <c r="G3783">
        <v>99.9</v>
      </c>
      <c r="H3783">
        <v>141.5</v>
      </c>
      <c r="I3783">
        <v>145.80000000000001</v>
      </c>
      <c r="J3783">
        <v>100</v>
      </c>
      <c r="K3783">
        <v>100</v>
      </c>
      <c r="L3783" s="1" t="s">
        <v>8844</v>
      </c>
      <c r="M3783" t="s">
        <v>8030</v>
      </c>
      <c r="N3783">
        <v>3</v>
      </c>
    </row>
    <row r="3784" spans="1:14" x14ac:dyDescent="0.25">
      <c r="A3784" s="3" t="str">
        <f>HYPERLINK("http://www.ncbi.nlm.nih.gov/gene/8671","8671")</f>
        <v>8671</v>
      </c>
      <c r="B3784" s="1" t="s">
        <v>8846</v>
      </c>
      <c r="C3784" t="s">
        <v>8847</v>
      </c>
      <c r="D3784">
        <v>134</v>
      </c>
      <c r="E3784">
        <v>139.5</v>
      </c>
      <c r="F3784">
        <v>99.8</v>
      </c>
      <c r="G3784">
        <v>99.2</v>
      </c>
      <c r="H3784">
        <v>134.9</v>
      </c>
      <c r="I3784">
        <v>138.9</v>
      </c>
      <c r="J3784">
        <v>100</v>
      </c>
      <c r="K3784">
        <v>100</v>
      </c>
      <c r="L3784" s="1" t="s">
        <v>8846</v>
      </c>
      <c r="M3784" t="s">
        <v>8848</v>
      </c>
      <c r="N3784">
        <v>5</v>
      </c>
    </row>
    <row r="3785" spans="1:14" x14ac:dyDescent="0.25">
      <c r="A3785" s="3" t="str">
        <f>HYPERLINK("http://www.ncbi.nlm.nih.gov/gene/55065","55065")</f>
        <v>55065</v>
      </c>
      <c r="B3785" s="1" t="s">
        <v>8849</v>
      </c>
      <c r="C3785" t="s">
        <v>8850</v>
      </c>
      <c r="D3785">
        <v>204.9</v>
      </c>
      <c r="E3785">
        <v>205.9</v>
      </c>
      <c r="F3785">
        <v>100</v>
      </c>
      <c r="G3785">
        <v>100</v>
      </c>
      <c r="H3785">
        <v>156.5</v>
      </c>
      <c r="I3785">
        <v>157.1</v>
      </c>
      <c r="J3785">
        <v>100</v>
      </c>
      <c r="K3785">
        <v>100</v>
      </c>
      <c r="L3785" s="1" t="s">
        <v>8849</v>
      </c>
      <c r="M3785" t="s">
        <v>441</v>
      </c>
      <c r="N3785">
        <v>2</v>
      </c>
    </row>
    <row r="3786" spans="1:14" x14ac:dyDescent="0.25">
      <c r="A3786" s="3" t="str">
        <f>HYPERLINK("http://www.ncbi.nlm.nih.gov/gene/79581","79581")</f>
        <v>79581</v>
      </c>
      <c r="B3786" s="1" t="s">
        <v>8851</v>
      </c>
      <c r="C3786" t="s">
        <v>8852</v>
      </c>
      <c r="D3786">
        <v>160.6</v>
      </c>
      <c r="E3786">
        <v>170.8</v>
      </c>
      <c r="F3786">
        <v>100</v>
      </c>
      <c r="G3786">
        <v>100</v>
      </c>
      <c r="H3786">
        <v>187.3</v>
      </c>
      <c r="I3786">
        <v>188.9</v>
      </c>
      <c r="J3786">
        <v>100</v>
      </c>
      <c r="K3786">
        <v>100</v>
      </c>
      <c r="L3786" s="1" t="s">
        <v>8851</v>
      </c>
      <c r="M3786" t="s">
        <v>8853</v>
      </c>
      <c r="N3786">
        <v>9</v>
      </c>
    </row>
    <row r="3787" spans="1:14" x14ac:dyDescent="0.25">
      <c r="A3787" s="3" t="str">
        <f>HYPERLINK("http://www.ncbi.nlm.nih.gov/gene/113278","113278")</f>
        <v>113278</v>
      </c>
      <c r="B3787" s="1" t="s">
        <v>8854</v>
      </c>
      <c r="C3787" t="s">
        <v>8855</v>
      </c>
      <c r="D3787">
        <v>123.8</v>
      </c>
      <c r="E3787">
        <v>125.5</v>
      </c>
      <c r="F3787">
        <v>100</v>
      </c>
      <c r="G3787">
        <v>100</v>
      </c>
      <c r="H3787">
        <v>164.3</v>
      </c>
      <c r="I3787">
        <v>166.1</v>
      </c>
      <c r="J3787">
        <v>100</v>
      </c>
      <c r="K3787">
        <v>100</v>
      </c>
      <c r="L3787" s="1" t="s">
        <v>8854</v>
      </c>
      <c r="M3787" t="s">
        <v>8856</v>
      </c>
      <c r="N3787">
        <v>8</v>
      </c>
    </row>
    <row r="3788" spans="1:14" x14ac:dyDescent="0.25">
      <c r="A3788" s="3" t="str">
        <f>HYPERLINK("http://www.ncbi.nlm.nih.gov/gene/6523","6523")</f>
        <v>6523</v>
      </c>
      <c r="B3788" s="1" t="s">
        <v>8857</v>
      </c>
      <c r="C3788" t="s">
        <v>8858</v>
      </c>
      <c r="D3788">
        <v>134.4</v>
      </c>
      <c r="E3788">
        <v>143</v>
      </c>
      <c r="F3788">
        <v>100</v>
      </c>
      <c r="G3788">
        <v>100</v>
      </c>
      <c r="H3788">
        <v>141.1</v>
      </c>
      <c r="I3788">
        <v>146.1</v>
      </c>
      <c r="J3788">
        <v>100</v>
      </c>
      <c r="K3788">
        <v>100</v>
      </c>
      <c r="L3788" s="1" t="s">
        <v>8857</v>
      </c>
      <c r="M3788" t="s">
        <v>116</v>
      </c>
      <c r="N3788">
        <v>3</v>
      </c>
    </row>
    <row r="3789" spans="1:14" x14ac:dyDescent="0.25">
      <c r="A3789" s="3" t="str">
        <f>HYPERLINK("http://www.ncbi.nlm.nih.gov/gene/6524","6524")</f>
        <v>6524</v>
      </c>
      <c r="B3789" s="1" t="s">
        <v>8859</v>
      </c>
      <c r="C3789" t="s">
        <v>8860</v>
      </c>
      <c r="D3789">
        <v>127.6</v>
      </c>
      <c r="E3789">
        <v>131.5</v>
      </c>
      <c r="F3789">
        <v>100</v>
      </c>
      <c r="G3789">
        <v>100</v>
      </c>
      <c r="H3789">
        <v>144.69999999999999</v>
      </c>
      <c r="I3789">
        <v>148.9</v>
      </c>
      <c r="J3789">
        <v>100</v>
      </c>
      <c r="K3789">
        <v>100</v>
      </c>
      <c r="L3789" s="1" t="s">
        <v>8859</v>
      </c>
      <c r="M3789" t="s">
        <v>8824</v>
      </c>
      <c r="N3789">
        <v>4</v>
      </c>
    </row>
    <row r="3790" spans="1:14" x14ac:dyDescent="0.25">
      <c r="A3790" s="3" t="str">
        <f>HYPERLINK("http://www.ncbi.nlm.nih.gov/gene/6528","6528")</f>
        <v>6528</v>
      </c>
      <c r="B3790" s="1" t="s">
        <v>8861</v>
      </c>
      <c r="C3790" t="s">
        <v>8862</v>
      </c>
      <c r="D3790">
        <v>106</v>
      </c>
      <c r="E3790">
        <v>109.5</v>
      </c>
      <c r="F3790">
        <v>100</v>
      </c>
      <c r="G3790">
        <v>99.8</v>
      </c>
      <c r="H3790">
        <v>142.1</v>
      </c>
      <c r="I3790">
        <v>145.19999999999999</v>
      </c>
      <c r="J3790">
        <v>100</v>
      </c>
      <c r="K3790">
        <v>100</v>
      </c>
      <c r="L3790" s="1" t="s">
        <v>8861</v>
      </c>
      <c r="M3790" t="s">
        <v>53</v>
      </c>
      <c r="N3790">
        <v>2</v>
      </c>
    </row>
    <row r="3791" spans="1:14" x14ac:dyDescent="0.25">
      <c r="A3791" s="3" t="str">
        <f>HYPERLINK("http://www.ncbi.nlm.nih.gov/gene/8884","8884")</f>
        <v>8884</v>
      </c>
      <c r="B3791" s="1" t="s">
        <v>8863</v>
      </c>
      <c r="C3791" t="s">
        <v>8864</v>
      </c>
      <c r="D3791">
        <v>169</v>
      </c>
      <c r="E3791">
        <v>176</v>
      </c>
      <c r="F3791">
        <v>100</v>
      </c>
      <c r="G3791">
        <v>100</v>
      </c>
      <c r="H3791">
        <v>139.19999999999999</v>
      </c>
      <c r="I3791">
        <v>142.30000000000001</v>
      </c>
      <c r="J3791">
        <v>100</v>
      </c>
      <c r="K3791">
        <v>100</v>
      </c>
      <c r="L3791" s="1" t="s">
        <v>8863</v>
      </c>
      <c r="M3791" t="s">
        <v>50</v>
      </c>
      <c r="N3791">
        <v>2</v>
      </c>
    </row>
    <row r="3792" spans="1:14" x14ac:dyDescent="0.25">
      <c r="A3792" s="3" t="str">
        <f>HYPERLINK("http://www.ncbi.nlm.nih.gov/gene/60482","60482")</f>
        <v>60482</v>
      </c>
      <c r="B3792" s="1" t="s">
        <v>8865</v>
      </c>
      <c r="C3792" t="s">
        <v>8866</v>
      </c>
      <c r="D3792">
        <v>118.7</v>
      </c>
      <c r="E3792">
        <v>118.9</v>
      </c>
      <c r="F3792">
        <v>100</v>
      </c>
      <c r="G3792">
        <v>99.9</v>
      </c>
      <c r="H3792">
        <v>144</v>
      </c>
      <c r="I3792">
        <v>144.80000000000001</v>
      </c>
      <c r="J3792">
        <v>100</v>
      </c>
      <c r="K3792">
        <v>100</v>
      </c>
      <c r="L3792" s="1" t="s">
        <v>8865</v>
      </c>
      <c r="M3792" t="s">
        <v>8867</v>
      </c>
      <c r="N3792">
        <v>4</v>
      </c>
    </row>
    <row r="3793" spans="1:14" x14ac:dyDescent="0.25">
      <c r="A3793" s="3" t="str">
        <f>HYPERLINK("http://www.ncbi.nlm.nih.gov/gene/6529","6529")</f>
        <v>6529</v>
      </c>
      <c r="B3793" s="1" t="s">
        <v>8868</v>
      </c>
      <c r="C3793" t="s">
        <v>8869</v>
      </c>
      <c r="D3793">
        <v>132.80000000000001</v>
      </c>
      <c r="E3793">
        <v>137.69999999999999</v>
      </c>
      <c r="F3793">
        <v>96.7</v>
      </c>
      <c r="G3793">
        <v>96.7</v>
      </c>
      <c r="H3793">
        <v>132.30000000000001</v>
      </c>
      <c r="I3793">
        <v>135.80000000000001</v>
      </c>
      <c r="J3793">
        <v>100</v>
      </c>
      <c r="K3793">
        <v>100</v>
      </c>
      <c r="L3793" s="1" t="s">
        <v>8868</v>
      </c>
      <c r="M3793" t="s">
        <v>995</v>
      </c>
      <c r="N3793">
        <v>3</v>
      </c>
    </row>
    <row r="3794" spans="1:14" x14ac:dyDescent="0.25">
      <c r="A3794" s="3" t="str">
        <f>HYPERLINK("http://www.ncbi.nlm.nih.gov/gene/388662","388662")</f>
        <v>388662</v>
      </c>
      <c r="B3794" s="1" t="s">
        <v>8870</v>
      </c>
      <c r="C3794" t="s">
        <v>8871</v>
      </c>
      <c r="D3794">
        <v>174</v>
      </c>
      <c r="E3794">
        <v>183</v>
      </c>
      <c r="F3794">
        <v>100</v>
      </c>
      <c r="G3794">
        <v>100</v>
      </c>
      <c r="H3794">
        <v>131</v>
      </c>
      <c r="I3794">
        <v>134.69999999999999</v>
      </c>
      <c r="J3794">
        <v>100</v>
      </c>
      <c r="K3794">
        <v>100</v>
      </c>
      <c r="L3794" s="1" t="s">
        <v>8870</v>
      </c>
      <c r="M3794" t="s">
        <v>228</v>
      </c>
      <c r="N3794">
        <v>3</v>
      </c>
    </row>
    <row r="3795" spans="1:14" x14ac:dyDescent="0.25">
      <c r="A3795" s="3" t="str">
        <f>HYPERLINK("http://www.ncbi.nlm.nih.gov/gene/340024","340024")</f>
        <v>340024</v>
      </c>
      <c r="B3795" s="1" t="s">
        <v>8872</v>
      </c>
      <c r="C3795" t="s">
        <v>8873</v>
      </c>
      <c r="D3795">
        <v>128.1</v>
      </c>
      <c r="E3795">
        <v>134.69999999999999</v>
      </c>
      <c r="F3795">
        <v>100</v>
      </c>
      <c r="G3795">
        <v>100</v>
      </c>
      <c r="H3795">
        <v>149.69999999999999</v>
      </c>
      <c r="I3795">
        <v>154.19999999999999</v>
      </c>
      <c r="J3795">
        <v>100</v>
      </c>
      <c r="K3795">
        <v>100</v>
      </c>
      <c r="L3795" s="1" t="s">
        <v>8872</v>
      </c>
      <c r="M3795" t="s">
        <v>8874</v>
      </c>
      <c r="N3795">
        <v>6</v>
      </c>
    </row>
    <row r="3796" spans="1:14" x14ac:dyDescent="0.25">
      <c r="A3796" s="3" t="str">
        <f>HYPERLINK("http://www.ncbi.nlm.nih.gov/gene/6530","6530")</f>
        <v>6530</v>
      </c>
      <c r="B3796" s="1" t="s">
        <v>8875</v>
      </c>
      <c r="C3796" t="s">
        <v>8876</v>
      </c>
      <c r="D3796">
        <v>131.6</v>
      </c>
      <c r="E3796">
        <v>138.80000000000001</v>
      </c>
      <c r="F3796">
        <v>100</v>
      </c>
      <c r="G3796">
        <v>99.9</v>
      </c>
      <c r="H3796">
        <v>153.69999999999999</v>
      </c>
      <c r="I3796">
        <v>158.19999999999999</v>
      </c>
      <c r="J3796">
        <v>100</v>
      </c>
      <c r="K3796">
        <v>100</v>
      </c>
      <c r="L3796" s="1" t="s">
        <v>8875</v>
      </c>
      <c r="M3796" t="s">
        <v>22</v>
      </c>
      <c r="N3796">
        <v>1</v>
      </c>
    </row>
    <row r="3797" spans="1:14" x14ac:dyDescent="0.25">
      <c r="A3797" s="3" t="str">
        <f>HYPERLINK("http://www.ncbi.nlm.nih.gov/gene/54716","54716")</f>
        <v>54716</v>
      </c>
      <c r="B3797" s="1" t="s">
        <v>8877</v>
      </c>
      <c r="C3797" t="s">
        <v>8878</v>
      </c>
      <c r="D3797">
        <v>150.5</v>
      </c>
      <c r="E3797">
        <v>158.9</v>
      </c>
      <c r="F3797">
        <v>100</v>
      </c>
      <c r="G3797">
        <v>99.9</v>
      </c>
      <c r="H3797">
        <v>144.30000000000001</v>
      </c>
      <c r="I3797">
        <v>148.9</v>
      </c>
      <c r="J3797">
        <v>100</v>
      </c>
      <c r="K3797">
        <v>100</v>
      </c>
      <c r="L3797" s="1" t="s">
        <v>8877</v>
      </c>
      <c r="M3797" t="s">
        <v>8802</v>
      </c>
      <c r="N3797">
        <v>2</v>
      </c>
    </row>
    <row r="3798" spans="1:14" x14ac:dyDescent="0.25">
      <c r="A3798" s="3" t="str">
        <f>HYPERLINK("http://www.ncbi.nlm.nih.gov/gene/6531","6531")</f>
        <v>6531</v>
      </c>
      <c r="B3798" s="1" t="s">
        <v>8879</v>
      </c>
      <c r="C3798" t="s">
        <v>8880</v>
      </c>
      <c r="D3798">
        <v>142.9</v>
      </c>
      <c r="E3798">
        <v>147.6</v>
      </c>
      <c r="F3798">
        <v>100</v>
      </c>
      <c r="G3798">
        <v>100</v>
      </c>
      <c r="H3798">
        <v>189.8</v>
      </c>
      <c r="I3798">
        <v>195.8</v>
      </c>
      <c r="J3798">
        <v>100</v>
      </c>
      <c r="K3798">
        <v>100</v>
      </c>
      <c r="L3798" s="1" t="s">
        <v>8879</v>
      </c>
      <c r="M3798" t="s">
        <v>8881</v>
      </c>
      <c r="N3798">
        <v>5</v>
      </c>
    </row>
    <row r="3799" spans="1:14" x14ac:dyDescent="0.25">
      <c r="A3799" s="3" t="str">
        <f>HYPERLINK("http://www.ncbi.nlm.nih.gov/gene/9152","9152")</f>
        <v>9152</v>
      </c>
      <c r="B3799" s="1" t="s">
        <v>8882</v>
      </c>
      <c r="C3799" t="s">
        <v>8883</v>
      </c>
      <c r="D3799">
        <v>135.19999999999999</v>
      </c>
      <c r="E3799">
        <v>135.30000000000001</v>
      </c>
      <c r="F3799">
        <v>100</v>
      </c>
      <c r="G3799">
        <v>100</v>
      </c>
      <c r="H3799">
        <v>147.69999999999999</v>
      </c>
      <c r="I3799">
        <v>151.9</v>
      </c>
      <c r="J3799">
        <v>100</v>
      </c>
      <c r="K3799">
        <v>100</v>
      </c>
      <c r="L3799" s="1" t="s">
        <v>8882</v>
      </c>
      <c r="M3799" t="s">
        <v>8884</v>
      </c>
      <c r="N3799">
        <v>3</v>
      </c>
    </row>
    <row r="3800" spans="1:14" x14ac:dyDescent="0.25">
      <c r="A3800" s="3" t="str">
        <f>HYPERLINK("http://www.ncbi.nlm.nih.gov/gene/6535","6535")</f>
        <v>6535</v>
      </c>
      <c r="B3800" s="1" t="s">
        <v>8885</v>
      </c>
      <c r="C3800" t="s">
        <v>8886</v>
      </c>
      <c r="D3800">
        <v>54.4</v>
      </c>
      <c r="E3800">
        <v>56.3</v>
      </c>
      <c r="F3800">
        <v>93.5</v>
      </c>
      <c r="G3800">
        <v>81.599999999999994</v>
      </c>
      <c r="H3800">
        <v>114.4</v>
      </c>
      <c r="I3800">
        <v>117.6</v>
      </c>
      <c r="J3800">
        <v>100</v>
      </c>
      <c r="K3800">
        <v>99.8</v>
      </c>
      <c r="L3800" s="1" t="s">
        <v>8885</v>
      </c>
      <c r="M3800" t="s">
        <v>8887</v>
      </c>
      <c r="N3800">
        <v>4</v>
      </c>
    </row>
    <row r="3801" spans="1:14" x14ac:dyDescent="0.25">
      <c r="A3801" s="3" t="str">
        <f>HYPERLINK("http://www.ncbi.nlm.nih.gov/gene/6536","6536")</f>
        <v>6536</v>
      </c>
      <c r="B3801" s="1" t="s">
        <v>8888</v>
      </c>
      <c r="C3801" t="s">
        <v>8889</v>
      </c>
      <c r="D3801">
        <v>153</v>
      </c>
      <c r="E3801">
        <v>155.4</v>
      </c>
      <c r="F3801">
        <v>100</v>
      </c>
      <c r="G3801">
        <v>100</v>
      </c>
      <c r="H3801">
        <v>145.4</v>
      </c>
      <c r="I3801">
        <v>149.1</v>
      </c>
      <c r="J3801">
        <v>100</v>
      </c>
      <c r="K3801">
        <v>100</v>
      </c>
      <c r="L3801" s="1" t="s">
        <v>8888</v>
      </c>
      <c r="M3801" t="s">
        <v>8890</v>
      </c>
      <c r="N3801">
        <v>5</v>
      </c>
    </row>
    <row r="3802" spans="1:14" x14ac:dyDescent="0.25">
      <c r="A3802" s="3" t="str">
        <f>HYPERLINK("http://www.ncbi.nlm.nih.gov/gene/57709","57709")</f>
        <v>57709</v>
      </c>
      <c r="B3802" s="1" t="s">
        <v>8891</v>
      </c>
      <c r="C3802" t="s">
        <v>8892</v>
      </c>
      <c r="D3802">
        <v>154.30000000000001</v>
      </c>
      <c r="E3802">
        <v>157.5</v>
      </c>
      <c r="F3802">
        <v>100</v>
      </c>
      <c r="G3802">
        <v>100</v>
      </c>
      <c r="H3802">
        <v>148.4</v>
      </c>
      <c r="I3802">
        <v>154</v>
      </c>
      <c r="J3802">
        <v>100</v>
      </c>
      <c r="K3802">
        <v>100</v>
      </c>
      <c r="L3802" s="1" t="s">
        <v>8891</v>
      </c>
      <c r="M3802" t="s">
        <v>56</v>
      </c>
      <c r="N3802">
        <v>3</v>
      </c>
    </row>
    <row r="3803" spans="1:14" x14ac:dyDescent="0.25">
      <c r="A3803" s="3" t="str">
        <f>HYPERLINK("http://www.ncbi.nlm.nih.gov/gene/8140","8140")</f>
        <v>8140</v>
      </c>
      <c r="B3803" s="1" t="s">
        <v>8893</v>
      </c>
      <c r="C3803" t="s">
        <v>8894</v>
      </c>
      <c r="D3803">
        <v>84.2</v>
      </c>
      <c r="E3803">
        <v>86</v>
      </c>
      <c r="F3803">
        <v>93.9</v>
      </c>
      <c r="G3803">
        <v>82.9</v>
      </c>
      <c r="H3803">
        <v>133.4</v>
      </c>
      <c r="I3803">
        <v>138.5</v>
      </c>
      <c r="J3803">
        <v>100</v>
      </c>
      <c r="K3803">
        <v>100</v>
      </c>
      <c r="L3803" s="1" t="s">
        <v>8893</v>
      </c>
      <c r="M3803" t="s">
        <v>661</v>
      </c>
      <c r="N3803">
        <v>2</v>
      </c>
    </row>
    <row r="3804" spans="1:14" x14ac:dyDescent="0.25">
      <c r="A3804" s="3" t="str">
        <f>HYPERLINK("http://www.ncbi.nlm.nih.gov/gene/9056","9056")</f>
        <v>9056</v>
      </c>
      <c r="B3804" s="1" t="s">
        <v>8895</v>
      </c>
      <c r="C3804" t="s">
        <v>8896</v>
      </c>
      <c r="D3804">
        <v>124.8</v>
      </c>
      <c r="E3804">
        <v>126.7</v>
      </c>
      <c r="F3804">
        <v>100</v>
      </c>
      <c r="G3804">
        <v>99.9</v>
      </c>
      <c r="H3804">
        <v>144.30000000000001</v>
      </c>
      <c r="I3804">
        <v>148.9</v>
      </c>
      <c r="J3804">
        <v>100</v>
      </c>
      <c r="K3804">
        <v>100</v>
      </c>
      <c r="L3804" s="1" t="s">
        <v>8895</v>
      </c>
      <c r="M3804" t="s">
        <v>8897</v>
      </c>
      <c r="N3804">
        <v>7</v>
      </c>
    </row>
    <row r="3805" spans="1:14" x14ac:dyDescent="0.25">
      <c r="A3805" s="3" t="str">
        <f>HYPERLINK("http://www.ncbi.nlm.nih.gov/gene/11136","11136")</f>
        <v>11136</v>
      </c>
      <c r="B3805" s="1" t="s">
        <v>8898</v>
      </c>
      <c r="C3805" t="s">
        <v>8899</v>
      </c>
      <c r="D3805">
        <v>140.1</v>
      </c>
      <c r="E3805">
        <v>145.80000000000001</v>
      </c>
      <c r="F3805">
        <v>100</v>
      </c>
      <c r="G3805">
        <v>99.9</v>
      </c>
      <c r="H3805">
        <v>131.19999999999999</v>
      </c>
      <c r="I3805">
        <v>135</v>
      </c>
      <c r="J3805">
        <v>100</v>
      </c>
      <c r="K3805">
        <v>100</v>
      </c>
      <c r="L3805" s="1" t="s">
        <v>8898</v>
      </c>
      <c r="M3805" t="s">
        <v>8900</v>
      </c>
      <c r="N3805">
        <v>4</v>
      </c>
    </row>
    <row r="3806" spans="1:14" x14ac:dyDescent="0.25">
      <c r="A3806" s="3" t="str">
        <f>HYPERLINK("http://www.ncbi.nlm.nih.gov/gene/6546","6546")</f>
        <v>6546</v>
      </c>
      <c r="B3806" s="1" t="s">
        <v>8901</v>
      </c>
      <c r="C3806" t="s">
        <v>8902</v>
      </c>
      <c r="D3806">
        <v>178.9</v>
      </c>
      <c r="E3806">
        <v>186.5</v>
      </c>
      <c r="F3806">
        <v>99.9</v>
      </c>
      <c r="G3806">
        <v>99.2</v>
      </c>
      <c r="H3806">
        <v>150.6</v>
      </c>
      <c r="I3806">
        <v>152.69999999999999</v>
      </c>
      <c r="J3806">
        <v>100</v>
      </c>
      <c r="K3806">
        <v>100</v>
      </c>
      <c r="L3806" s="1" t="s">
        <v>8901</v>
      </c>
      <c r="M3806" t="s">
        <v>661</v>
      </c>
      <c r="N3806">
        <v>2</v>
      </c>
    </row>
    <row r="3807" spans="1:14" x14ac:dyDescent="0.25">
      <c r="A3807" s="3" t="str">
        <f>HYPERLINK("http://www.ncbi.nlm.nih.gov/gene/6548","6548")</f>
        <v>6548</v>
      </c>
      <c r="B3807" s="1" t="s">
        <v>8903</v>
      </c>
      <c r="C3807" t="s">
        <v>8904</v>
      </c>
      <c r="D3807">
        <v>162</v>
      </c>
      <c r="E3807">
        <v>164</v>
      </c>
      <c r="F3807">
        <v>100</v>
      </c>
      <c r="G3807">
        <v>100</v>
      </c>
      <c r="H3807">
        <v>157.19999999999999</v>
      </c>
      <c r="I3807">
        <v>161</v>
      </c>
      <c r="J3807">
        <v>100</v>
      </c>
      <c r="K3807">
        <v>100</v>
      </c>
      <c r="L3807" s="1" t="s">
        <v>8903</v>
      </c>
      <c r="M3807" t="s">
        <v>838</v>
      </c>
      <c r="N3807">
        <v>3</v>
      </c>
    </row>
    <row r="3808" spans="1:14" x14ac:dyDescent="0.25">
      <c r="A3808" s="3" t="str">
        <f>HYPERLINK("http://www.ncbi.nlm.nih.gov/gene/6550","6550")</f>
        <v>6550</v>
      </c>
      <c r="B3808" s="1" t="s">
        <v>8905</v>
      </c>
      <c r="C3808" t="s">
        <v>8906</v>
      </c>
      <c r="D3808">
        <v>120.2</v>
      </c>
      <c r="E3808">
        <v>126.5</v>
      </c>
      <c r="F3808">
        <v>90.6</v>
      </c>
      <c r="G3808">
        <v>86</v>
      </c>
      <c r="H3808">
        <v>127.3</v>
      </c>
      <c r="I3808">
        <v>127.6</v>
      </c>
      <c r="J3808">
        <v>96.4</v>
      </c>
      <c r="K3808">
        <v>94.1</v>
      </c>
      <c r="L3808" s="1" t="s">
        <v>8905</v>
      </c>
      <c r="M3808" t="s">
        <v>357</v>
      </c>
      <c r="N3808">
        <v>3</v>
      </c>
    </row>
    <row r="3809" spans="1:14" x14ac:dyDescent="0.25">
      <c r="A3809" s="3" t="str">
        <f>HYPERLINK("http://www.ncbi.nlm.nih.gov/gene/9368","9368")</f>
        <v>9368</v>
      </c>
      <c r="B3809" s="1" t="s">
        <v>8907</v>
      </c>
      <c r="C3809" t="s">
        <v>8908</v>
      </c>
      <c r="D3809">
        <v>127.2</v>
      </c>
      <c r="E3809">
        <v>134.6</v>
      </c>
      <c r="F3809">
        <v>100</v>
      </c>
      <c r="G3809">
        <v>98.7</v>
      </c>
      <c r="H3809">
        <v>130.5</v>
      </c>
      <c r="I3809">
        <v>131.30000000000001</v>
      </c>
      <c r="J3809">
        <v>100</v>
      </c>
      <c r="K3809">
        <v>100</v>
      </c>
      <c r="L3809" s="1" t="s">
        <v>8907</v>
      </c>
      <c r="M3809" t="s">
        <v>594</v>
      </c>
      <c r="N3809">
        <v>3</v>
      </c>
    </row>
    <row r="3810" spans="1:14" x14ac:dyDescent="0.25">
      <c r="A3810" s="3" t="str">
        <f>HYPERLINK("http://www.ncbi.nlm.nih.gov/gene/10479","10479")</f>
        <v>10479</v>
      </c>
      <c r="B3810" s="1" t="s">
        <v>8909</v>
      </c>
      <c r="C3810" t="s">
        <v>8910</v>
      </c>
      <c r="D3810">
        <v>114.4</v>
      </c>
      <c r="E3810">
        <v>118.7</v>
      </c>
      <c r="F3810">
        <v>95.2</v>
      </c>
      <c r="G3810">
        <v>91.6</v>
      </c>
      <c r="H3810">
        <v>118.7</v>
      </c>
      <c r="I3810">
        <v>122.6</v>
      </c>
      <c r="J3810">
        <v>100</v>
      </c>
      <c r="K3810">
        <v>98.4</v>
      </c>
      <c r="L3810" s="1" t="s">
        <v>8909</v>
      </c>
      <c r="M3810" t="s">
        <v>1425</v>
      </c>
      <c r="N3810">
        <v>3</v>
      </c>
    </row>
    <row r="3811" spans="1:14" x14ac:dyDescent="0.25">
      <c r="A3811" s="3" t="str">
        <f>HYPERLINK("http://www.ncbi.nlm.nih.gov/gene/84679","84679")</f>
        <v>84679</v>
      </c>
      <c r="B3811" s="1" t="s">
        <v>8911</v>
      </c>
      <c r="C3811" t="s">
        <v>8912</v>
      </c>
      <c r="D3811">
        <v>88</v>
      </c>
      <c r="E3811">
        <v>90.8</v>
      </c>
      <c r="F3811">
        <v>97.6</v>
      </c>
      <c r="G3811">
        <v>90.3</v>
      </c>
      <c r="H3811">
        <v>121.6</v>
      </c>
      <c r="I3811">
        <v>125.3</v>
      </c>
      <c r="J3811">
        <v>99.9</v>
      </c>
      <c r="K3811">
        <v>99.5</v>
      </c>
      <c r="L3811" s="1" t="s">
        <v>8911</v>
      </c>
      <c r="M3811" t="s">
        <v>1240</v>
      </c>
      <c r="N3811">
        <v>2</v>
      </c>
    </row>
    <row r="3812" spans="1:14" x14ac:dyDescent="0.25">
      <c r="A3812" s="3" t="str">
        <f>HYPERLINK("http://www.ncbi.nlm.nih.gov/gene/10599","10599")</f>
        <v>10599</v>
      </c>
      <c r="B3812" s="1" t="s">
        <v>8913</v>
      </c>
      <c r="C3812" t="s">
        <v>8914</v>
      </c>
      <c r="D3812">
        <v>60.1</v>
      </c>
      <c r="E3812">
        <v>63.6</v>
      </c>
      <c r="F3812">
        <v>99.2</v>
      </c>
      <c r="G3812">
        <v>93.7</v>
      </c>
      <c r="H3812">
        <v>124</v>
      </c>
      <c r="I3812">
        <v>128</v>
      </c>
      <c r="J3812">
        <v>100</v>
      </c>
      <c r="K3812">
        <v>100</v>
      </c>
      <c r="L3812" s="1" t="s">
        <v>8913</v>
      </c>
      <c r="M3812" t="s">
        <v>3729</v>
      </c>
      <c r="N3812">
        <v>2</v>
      </c>
    </row>
    <row r="3813" spans="1:14" x14ac:dyDescent="0.25">
      <c r="A3813" s="3" t="str">
        <f>HYPERLINK("http://www.ncbi.nlm.nih.gov/gene/28234","28234")</f>
        <v>28234</v>
      </c>
      <c r="B3813" s="1" t="s">
        <v>8915</v>
      </c>
      <c r="C3813" t="s">
        <v>8916</v>
      </c>
      <c r="D3813">
        <v>55.2</v>
      </c>
      <c r="E3813">
        <v>57.8</v>
      </c>
      <c r="F3813">
        <v>98.8</v>
      </c>
      <c r="G3813">
        <v>90.8</v>
      </c>
      <c r="H3813">
        <v>131</v>
      </c>
      <c r="I3813">
        <v>134.80000000000001</v>
      </c>
      <c r="J3813">
        <v>100</v>
      </c>
      <c r="K3813">
        <v>100</v>
      </c>
      <c r="L3813" s="1" t="s">
        <v>8915</v>
      </c>
      <c r="M3813" t="s">
        <v>3729</v>
      </c>
      <c r="N3813">
        <v>2</v>
      </c>
    </row>
    <row r="3814" spans="1:14" x14ac:dyDescent="0.25">
      <c r="A3814" s="3" t="str">
        <f>HYPERLINK("http://www.ncbi.nlm.nih.gov/gene/6578","6578")</f>
        <v>6578</v>
      </c>
      <c r="B3814" s="1" t="s">
        <v>8917</v>
      </c>
      <c r="C3814" t="s">
        <v>8918</v>
      </c>
      <c r="D3814">
        <v>104.2</v>
      </c>
      <c r="E3814">
        <v>108.1</v>
      </c>
      <c r="F3814">
        <v>100</v>
      </c>
      <c r="G3814">
        <v>99.4</v>
      </c>
      <c r="H3814">
        <v>128.69999999999999</v>
      </c>
      <c r="I3814">
        <v>132.69999999999999</v>
      </c>
      <c r="J3814">
        <v>100</v>
      </c>
      <c r="K3814">
        <v>100</v>
      </c>
      <c r="L3814" s="1" t="s">
        <v>8917</v>
      </c>
      <c r="M3814" t="s">
        <v>8919</v>
      </c>
      <c r="N3814">
        <v>4</v>
      </c>
    </row>
    <row r="3815" spans="1:14" x14ac:dyDescent="0.25">
      <c r="A3815" s="3" t="str">
        <f>HYPERLINK("http://www.ncbi.nlm.nih.gov/gene/81796","81796")</f>
        <v>81796</v>
      </c>
      <c r="B3815" s="1" t="s">
        <v>8920</v>
      </c>
      <c r="C3815" t="s">
        <v>8921</v>
      </c>
      <c r="D3815">
        <v>197.8</v>
      </c>
      <c r="E3815">
        <v>195.2</v>
      </c>
      <c r="F3815">
        <v>99.7</v>
      </c>
      <c r="G3815">
        <v>98.8</v>
      </c>
      <c r="H3815">
        <v>151.4</v>
      </c>
      <c r="I3815">
        <v>154.6</v>
      </c>
      <c r="J3815">
        <v>100</v>
      </c>
      <c r="K3815">
        <v>100</v>
      </c>
      <c r="L3815" s="1" t="s">
        <v>8920</v>
      </c>
      <c r="M3815" t="s">
        <v>1253</v>
      </c>
      <c r="N3815">
        <v>2</v>
      </c>
    </row>
    <row r="3816" spans="1:14" x14ac:dyDescent="0.25">
      <c r="A3816" s="3" t="str">
        <f>HYPERLINK("http://www.ncbi.nlm.nih.gov/gene/342618","342618")</f>
        <v>342618</v>
      </c>
      <c r="B3816" s="1" t="s">
        <v>8922</v>
      </c>
      <c r="C3816" t="s">
        <v>8923</v>
      </c>
      <c r="D3816">
        <v>222.2</v>
      </c>
      <c r="E3816">
        <v>222.4</v>
      </c>
      <c r="F3816">
        <v>100</v>
      </c>
      <c r="G3816">
        <v>100</v>
      </c>
      <c r="H3816">
        <v>141.30000000000001</v>
      </c>
      <c r="I3816">
        <v>139.5</v>
      </c>
      <c r="J3816">
        <v>100</v>
      </c>
      <c r="K3816">
        <v>100</v>
      </c>
      <c r="L3816" s="1" t="s">
        <v>8922</v>
      </c>
      <c r="M3816" t="s">
        <v>16</v>
      </c>
      <c r="N3816">
        <v>2</v>
      </c>
    </row>
    <row r="3817" spans="1:14" x14ac:dyDescent="0.25">
      <c r="A3817" s="3" t="str">
        <f>HYPERLINK("http://www.ncbi.nlm.nih.gov/gene/6586","6586")</f>
        <v>6586</v>
      </c>
      <c r="B3817" s="1" t="s">
        <v>8924</v>
      </c>
      <c r="C3817" t="s">
        <v>8925</v>
      </c>
      <c r="D3817">
        <v>127.2</v>
      </c>
      <c r="E3817">
        <v>131.9</v>
      </c>
      <c r="F3817">
        <v>97.9</v>
      </c>
      <c r="G3817">
        <v>95.3</v>
      </c>
      <c r="H3817">
        <v>147.19999999999999</v>
      </c>
      <c r="I3817">
        <v>151.5</v>
      </c>
      <c r="J3817">
        <v>100</v>
      </c>
      <c r="K3817">
        <v>100</v>
      </c>
      <c r="L3817" s="1" t="s">
        <v>8924</v>
      </c>
      <c r="M3817" t="s">
        <v>998</v>
      </c>
      <c r="N3817">
        <v>2</v>
      </c>
    </row>
    <row r="3818" spans="1:14" x14ac:dyDescent="0.25">
      <c r="A3818" s="3" t="str">
        <f>HYPERLINK("http://www.ncbi.nlm.nih.gov/gene/114798","114798")</f>
        <v>114798</v>
      </c>
      <c r="B3818" s="1" t="s">
        <v>8926</v>
      </c>
      <c r="C3818" t="s">
        <v>8927</v>
      </c>
      <c r="D3818">
        <v>161.69999999999999</v>
      </c>
      <c r="E3818">
        <v>155</v>
      </c>
      <c r="F3818">
        <v>100</v>
      </c>
      <c r="G3818">
        <v>100</v>
      </c>
      <c r="H3818">
        <v>155.5</v>
      </c>
      <c r="I3818">
        <v>155.9</v>
      </c>
      <c r="J3818">
        <v>100</v>
      </c>
      <c r="K3818">
        <v>100</v>
      </c>
      <c r="L3818" s="1" t="s">
        <v>8926</v>
      </c>
      <c r="M3818" t="s">
        <v>22</v>
      </c>
      <c r="N3818">
        <v>1</v>
      </c>
    </row>
    <row r="3819" spans="1:14" x14ac:dyDescent="0.25">
      <c r="A3819" s="3" t="str">
        <f>HYPERLINK("http://www.ncbi.nlm.nih.gov/gene/84189","84189")</f>
        <v>84189</v>
      </c>
      <c r="B3819" s="1" t="s">
        <v>8928</v>
      </c>
      <c r="C3819" t="s">
        <v>8929</v>
      </c>
      <c r="D3819">
        <v>203</v>
      </c>
      <c r="E3819">
        <v>197.2</v>
      </c>
      <c r="F3819">
        <v>100</v>
      </c>
      <c r="G3819">
        <v>100</v>
      </c>
      <c r="H3819">
        <v>153.9</v>
      </c>
      <c r="I3819">
        <v>155</v>
      </c>
      <c r="J3819">
        <v>100</v>
      </c>
      <c r="K3819">
        <v>100</v>
      </c>
      <c r="L3819" s="1" t="s">
        <v>8928</v>
      </c>
      <c r="M3819" t="s">
        <v>269</v>
      </c>
      <c r="N3819">
        <v>3</v>
      </c>
    </row>
    <row r="3820" spans="1:14" x14ac:dyDescent="0.25">
      <c r="A3820" s="3" t="str">
        <f>HYPERLINK("http://www.ncbi.nlm.nih.gov/gene/7871","7871")</f>
        <v>7871</v>
      </c>
      <c r="B3820" s="1" t="s">
        <v>8930</v>
      </c>
      <c r="C3820" t="s">
        <v>8931</v>
      </c>
      <c r="D3820">
        <v>136.4</v>
      </c>
      <c r="E3820">
        <v>142.9</v>
      </c>
      <c r="F3820">
        <v>99.2</v>
      </c>
      <c r="G3820">
        <v>94.6</v>
      </c>
      <c r="H3820">
        <v>122.5</v>
      </c>
      <c r="I3820">
        <v>126</v>
      </c>
      <c r="J3820">
        <v>100</v>
      </c>
      <c r="K3820">
        <v>100</v>
      </c>
      <c r="L3820" s="1" t="s">
        <v>8930</v>
      </c>
      <c r="M3820" t="s">
        <v>197</v>
      </c>
      <c r="N3820">
        <v>2</v>
      </c>
    </row>
    <row r="3821" spans="1:14" x14ac:dyDescent="0.25">
      <c r="A3821" s="3" t="str">
        <f>HYPERLINK("http://www.ncbi.nlm.nih.gov/gene/6588","6588")</f>
        <v>6588</v>
      </c>
      <c r="B3821" s="1" t="s">
        <v>8932</v>
      </c>
      <c r="D3821">
        <v>41.8</v>
      </c>
      <c r="E3821">
        <v>42.1</v>
      </c>
      <c r="F3821">
        <v>100</v>
      </c>
      <c r="G3821">
        <v>97.6</v>
      </c>
      <c r="H3821">
        <v>137.4</v>
      </c>
      <c r="I3821">
        <v>139.9</v>
      </c>
      <c r="J3821">
        <v>100</v>
      </c>
      <c r="K3821">
        <v>100</v>
      </c>
      <c r="L3821" s="1" t="s">
        <v>8932</v>
      </c>
      <c r="M3821" t="s">
        <v>661</v>
      </c>
      <c r="N3821">
        <v>2</v>
      </c>
    </row>
    <row r="3822" spans="1:14" x14ac:dyDescent="0.25">
      <c r="A3822" s="3" t="str">
        <f>HYPERLINK("http://www.ncbi.nlm.nih.gov/gene/57152","57152")</f>
        <v>57152</v>
      </c>
      <c r="B3822" s="1" t="s">
        <v>8933</v>
      </c>
      <c r="C3822" t="s">
        <v>8934</v>
      </c>
      <c r="D3822">
        <v>90.8</v>
      </c>
      <c r="E3822">
        <v>93.6</v>
      </c>
      <c r="F3822">
        <v>100</v>
      </c>
      <c r="G3822">
        <v>99.3</v>
      </c>
      <c r="H3822">
        <v>137.4</v>
      </c>
      <c r="I3822">
        <v>140.80000000000001</v>
      </c>
      <c r="J3822">
        <v>100</v>
      </c>
      <c r="K3822">
        <v>100</v>
      </c>
      <c r="L3822" s="1" t="s">
        <v>8933</v>
      </c>
      <c r="M3822" t="s">
        <v>4146</v>
      </c>
      <c r="N3822">
        <v>3</v>
      </c>
    </row>
    <row r="3823" spans="1:14" x14ac:dyDescent="0.25">
      <c r="A3823" s="3" t="str">
        <f>HYPERLINK("http://www.ncbi.nlm.nih.gov/gene/84464","84464")</f>
        <v>84464</v>
      </c>
      <c r="B3823" s="1" t="s">
        <v>8935</v>
      </c>
      <c r="C3823" t="s">
        <v>8936</v>
      </c>
      <c r="D3823">
        <v>139.80000000000001</v>
      </c>
      <c r="E3823">
        <v>130.9</v>
      </c>
      <c r="F3823">
        <v>100</v>
      </c>
      <c r="G3823">
        <v>99.8</v>
      </c>
      <c r="H3823">
        <v>144.1</v>
      </c>
      <c r="I3823">
        <v>145.69999999999999</v>
      </c>
      <c r="J3823">
        <v>100</v>
      </c>
      <c r="K3823">
        <v>100</v>
      </c>
      <c r="L3823" s="1" t="s">
        <v>8935</v>
      </c>
      <c r="M3823" t="s">
        <v>3226</v>
      </c>
      <c r="N3823">
        <v>5</v>
      </c>
    </row>
    <row r="3824" spans="1:14" x14ac:dyDescent="0.25">
      <c r="A3824" s="3" t="str">
        <f>HYPERLINK("http://www.ncbi.nlm.nih.gov/gene/4086","4086")</f>
        <v>4086</v>
      </c>
      <c r="B3824" s="1" t="s">
        <v>8937</v>
      </c>
      <c r="C3824" t="s">
        <v>8938</v>
      </c>
      <c r="D3824">
        <v>176.8</v>
      </c>
      <c r="E3824">
        <v>183.4</v>
      </c>
      <c r="F3824">
        <v>100</v>
      </c>
      <c r="G3824">
        <v>99.1</v>
      </c>
      <c r="H3824">
        <v>158.69999999999999</v>
      </c>
      <c r="I3824">
        <v>165.4</v>
      </c>
      <c r="J3824">
        <v>100</v>
      </c>
      <c r="K3824">
        <v>100</v>
      </c>
      <c r="L3824" s="1" t="s">
        <v>8937</v>
      </c>
      <c r="M3824" t="s">
        <v>197</v>
      </c>
      <c r="N3824">
        <v>2</v>
      </c>
    </row>
    <row r="3825" spans="1:14" x14ac:dyDescent="0.25">
      <c r="A3825" s="3" t="str">
        <f>HYPERLINK("http://www.ncbi.nlm.nih.gov/gene/4087","4087")</f>
        <v>4087</v>
      </c>
      <c r="B3825" s="1" t="s">
        <v>8939</v>
      </c>
      <c r="C3825" t="s">
        <v>8940</v>
      </c>
      <c r="D3825">
        <v>153.5</v>
      </c>
      <c r="E3825">
        <v>162.80000000000001</v>
      </c>
      <c r="F3825">
        <v>100</v>
      </c>
      <c r="G3825">
        <v>99.6</v>
      </c>
      <c r="H3825">
        <v>138.69999999999999</v>
      </c>
      <c r="I3825">
        <v>142.5</v>
      </c>
      <c r="J3825">
        <v>100</v>
      </c>
      <c r="K3825">
        <v>100</v>
      </c>
      <c r="L3825" s="1" t="s">
        <v>8939</v>
      </c>
      <c r="M3825" t="s">
        <v>8941</v>
      </c>
      <c r="N3825">
        <v>4</v>
      </c>
    </row>
    <row r="3826" spans="1:14" x14ac:dyDescent="0.25">
      <c r="A3826" s="3" t="str">
        <f>HYPERLINK("http://www.ncbi.nlm.nih.gov/gene/4088","4088")</f>
        <v>4088</v>
      </c>
      <c r="B3826" s="1" t="s">
        <v>8942</v>
      </c>
      <c r="C3826" t="s">
        <v>8943</v>
      </c>
      <c r="D3826">
        <v>139.80000000000001</v>
      </c>
      <c r="E3826">
        <v>144.4</v>
      </c>
      <c r="F3826">
        <v>99.9</v>
      </c>
      <c r="G3826">
        <v>99</v>
      </c>
      <c r="H3826">
        <v>128.9</v>
      </c>
      <c r="I3826">
        <v>133.1</v>
      </c>
      <c r="J3826">
        <v>100</v>
      </c>
      <c r="K3826">
        <v>100</v>
      </c>
      <c r="L3826" s="1" t="s">
        <v>8942</v>
      </c>
      <c r="M3826" t="s">
        <v>8944</v>
      </c>
      <c r="N3826">
        <v>6</v>
      </c>
    </row>
    <row r="3827" spans="1:14" x14ac:dyDescent="0.25">
      <c r="A3827" s="3" t="str">
        <f>HYPERLINK("http://www.ncbi.nlm.nih.gov/gene/4089","4089")</f>
        <v>4089</v>
      </c>
      <c r="B3827" s="1" t="s">
        <v>8945</v>
      </c>
      <c r="C3827" t="s">
        <v>8946</v>
      </c>
      <c r="D3827">
        <v>122.5</v>
      </c>
      <c r="E3827">
        <v>127.2</v>
      </c>
      <c r="F3827">
        <v>100</v>
      </c>
      <c r="G3827">
        <v>99.9</v>
      </c>
      <c r="H3827">
        <v>141.1</v>
      </c>
      <c r="I3827">
        <v>145.9</v>
      </c>
      <c r="J3827">
        <v>100</v>
      </c>
      <c r="K3827">
        <v>100</v>
      </c>
      <c r="L3827" s="1" t="s">
        <v>8945</v>
      </c>
      <c r="M3827" t="s">
        <v>8947</v>
      </c>
      <c r="N3827">
        <v>7</v>
      </c>
    </row>
    <row r="3828" spans="1:14" x14ac:dyDescent="0.25">
      <c r="A3828" s="3" t="str">
        <f>HYPERLINK("http://www.ncbi.nlm.nih.gov/gene/4091","4091")</f>
        <v>4091</v>
      </c>
      <c r="B3828" s="1" t="s">
        <v>8948</v>
      </c>
      <c r="C3828" t="s">
        <v>8949</v>
      </c>
      <c r="D3828">
        <v>143</v>
      </c>
      <c r="E3828">
        <v>149.80000000000001</v>
      </c>
      <c r="F3828">
        <v>90.9</v>
      </c>
      <c r="G3828">
        <v>81</v>
      </c>
      <c r="H3828">
        <v>113.4</v>
      </c>
      <c r="I3828">
        <v>109.7</v>
      </c>
      <c r="J3828">
        <v>100</v>
      </c>
      <c r="K3828">
        <v>99.6</v>
      </c>
      <c r="L3828" s="1" t="s">
        <v>8948</v>
      </c>
      <c r="M3828" t="s">
        <v>8950</v>
      </c>
      <c r="N3828">
        <v>5</v>
      </c>
    </row>
    <row r="3829" spans="1:14" x14ac:dyDescent="0.25">
      <c r="A3829" s="3" t="str">
        <f>HYPERLINK("http://www.ncbi.nlm.nih.gov/gene/4093","4093")</f>
        <v>4093</v>
      </c>
      <c r="B3829" s="1" t="s">
        <v>8951</v>
      </c>
      <c r="C3829" t="s">
        <v>8952</v>
      </c>
      <c r="D3829">
        <v>119.1</v>
      </c>
      <c r="E3829">
        <v>118.3</v>
      </c>
      <c r="F3829">
        <v>100</v>
      </c>
      <c r="G3829">
        <v>99.9</v>
      </c>
      <c r="H3829">
        <v>153.69999999999999</v>
      </c>
      <c r="I3829">
        <v>160.30000000000001</v>
      </c>
      <c r="J3829">
        <v>100</v>
      </c>
      <c r="K3829">
        <v>100</v>
      </c>
      <c r="L3829" s="1" t="s">
        <v>8951</v>
      </c>
      <c r="M3829" t="s">
        <v>8953</v>
      </c>
      <c r="N3829">
        <v>3</v>
      </c>
    </row>
    <row r="3830" spans="1:14" x14ac:dyDescent="0.25">
      <c r="A3830" s="3" t="str">
        <f>HYPERLINK("http://www.ncbi.nlm.nih.gov/gene/6594","6594")</f>
        <v>6594</v>
      </c>
      <c r="B3830" s="1" t="s">
        <v>8954</v>
      </c>
      <c r="C3830" t="s">
        <v>8955</v>
      </c>
      <c r="D3830">
        <v>113.8</v>
      </c>
      <c r="E3830">
        <v>117.4</v>
      </c>
      <c r="F3830">
        <v>99.6</v>
      </c>
      <c r="G3830">
        <v>97.5</v>
      </c>
      <c r="H3830">
        <v>113.8</v>
      </c>
      <c r="I3830">
        <v>117.4</v>
      </c>
      <c r="J3830">
        <v>100</v>
      </c>
      <c r="K3830">
        <v>99.6</v>
      </c>
      <c r="L3830" s="1" t="s">
        <v>8954</v>
      </c>
      <c r="M3830" t="s">
        <v>728</v>
      </c>
      <c r="N3830">
        <v>2</v>
      </c>
    </row>
    <row r="3831" spans="1:14" x14ac:dyDescent="0.25">
      <c r="A3831" s="3" t="str">
        <f>HYPERLINK("http://www.ncbi.nlm.nih.gov/gene/6595","6595")</f>
        <v>6595</v>
      </c>
      <c r="B3831" s="1" t="s">
        <v>8956</v>
      </c>
      <c r="C3831" t="s">
        <v>8957</v>
      </c>
      <c r="D3831">
        <v>121.2</v>
      </c>
      <c r="E3831">
        <v>125.9</v>
      </c>
      <c r="F3831">
        <v>96.7</v>
      </c>
      <c r="G3831">
        <v>96.2</v>
      </c>
      <c r="H3831">
        <v>125.9</v>
      </c>
      <c r="I3831">
        <v>127.7</v>
      </c>
      <c r="J3831">
        <v>97.4</v>
      </c>
      <c r="K3831">
        <v>96.8</v>
      </c>
      <c r="L3831" s="1" t="s">
        <v>8956</v>
      </c>
      <c r="M3831" t="s">
        <v>827</v>
      </c>
      <c r="N3831">
        <v>4</v>
      </c>
    </row>
    <row r="3832" spans="1:14" x14ac:dyDescent="0.25">
      <c r="A3832" s="3" t="str">
        <f>HYPERLINK("http://www.ncbi.nlm.nih.gov/gene/6597","6597")</f>
        <v>6597</v>
      </c>
      <c r="B3832" s="1" t="s">
        <v>8958</v>
      </c>
      <c r="C3832" t="s">
        <v>8959</v>
      </c>
      <c r="D3832">
        <v>154.6</v>
      </c>
      <c r="E3832">
        <v>157.4</v>
      </c>
      <c r="F3832">
        <v>99.9</v>
      </c>
      <c r="G3832">
        <v>99</v>
      </c>
      <c r="H3832">
        <v>137</v>
      </c>
      <c r="I3832">
        <v>140.19999999999999</v>
      </c>
      <c r="J3832">
        <v>100</v>
      </c>
      <c r="K3832">
        <v>100</v>
      </c>
      <c r="L3832" s="1" t="s">
        <v>8958</v>
      </c>
      <c r="M3832" t="s">
        <v>7614</v>
      </c>
      <c r="N3832">
        <v>5</v>
      </c>
    </row>
    <row r="3833" spans="1:14" x14ac:dyDescent="0.25">
      <c r="A3833" s="3" t="str">
        <f>HYPERLINK("http://www.ncbi.nlm.nih.gov/gene/56916","56916")</f>
        <v>56916</v>
      </c>
      <c r="B3833" s="1" t="s">
        <v>8960</v>
      </c>
      <c r="C3833" t="s">
        <v>8961</v>
      </c>
      <c r="D3833">
        <v>98</v>
      </c>
      <c r="E3833">
        <v>103.4</v>
      </c>
      <c r="F3833">
        <v>99.3</v>
      </c>
      <c r="G3833">
        <v>95.8</v>
      </c>
      <c r="H3833">
        <v>120.6</v>
      </c>
      <c r="I3833">
        <v>123.4</v>
      </c>
      <c r="J3833">
        <v>100</v>
      </c>
      <c r="K3833">
        <v>100</v>
      </c>
      <c r="L3833" s="1" t="s">
        <v>8960</v>
      </c>
      <c r="M3833" t="s">
        <v>29</v>
      </c>
      <c r="N3833">
        <v>2</v>
      </c>
    </row>
    <row r="3834" spans="1:14" x14ac:dyDescent="0.25">
      <c r="A3834" s="3" t="str">
        <f>HYPERLINK("http://www.ncbi.nlm.nih.gov/gene/50485","50485")</f>
        <v>50485</v>
      </c>
      <c r="B3834" s="1" t="s">
        <v>8962</v>
      </c>
      <c r="C3834" t="s">
        <v>8963</v>
      </c>
      <c r="D3834">
        <v>129.6</v>
      </c>
      <c r="E3834">
        <v>130.9</v>
      </c>
      <c r="F3834">
        <v>100</v>
      </c>
      <c r="G3834">
        <v>99.9</v>
      </c>
      <c r="H3834">
        <v>141.69999999999999</v>
      </c>
      <c r="I3834">
        <v>145.6</v>
      </c>
      <c r="J3834">
        <v>100</v>
      </c>
      <c r="K3834">
        <v>100</v>
      </c>
      <c r="L3834" s="1" t="s">
        <v>8962</v>
      </c>
      <c r="M3834" t="s">
        <v>8964</v>
      </c>
      <c r="N3834">
        <v>6</v>
      </c>
    </row>
    <row r="3835" spans="1:14" x14ac:dyDescent="0.25">
      <c r="A3835" s="3" t="str">
        <f>HYPERLINK("http://www.ncbi.nlm.nih.gov/gene/6598","6598")</f>
        <v>6598</v>
      </c>
      <c r="B3835" s="1" t="s">
        <v>8965</v>
      </c>
      <c r="C3835" t="s">
        <v>8966</v>
      </c>
      <c r="D3835">
        <v>202.2</v>
      </c>
      <c r="E3835">
        <v>210.4</v>
      </c>
      <c r="F3835">
        <v>100</v>
      </c>
      <c r="G3835">
        <v>100</v>
      </c>
      <c r="H3835">
        <v>174.8</v>
      </c>
      <c r="I3835">
        <v>179.6</v>
      </c>
      <c r="J3835">
        <v>100</v>
      </c>
      <c r="K3835">
        <v>100</v>
      </c>
      <c r="L3835" s="1" t="s">
        <v>8965</v>
      </c>
      <c r="M3835" t="s">
        <v>8967</v>
      </c>
      <c r="N3835">
        <v>7</v>
      </c>
    </row>
    <row r="3836" spans="1:14" x14ac:dyDescent="0.25">
      <c r="A3836" s="3" t="str">
        <f>HYPERLINK("http://www.ncbi.nlm.nih.gov/gene/6601","6601")</f>
        <v>6601</v>
      </c>
      <c r="B3836" s="1" t="s">
        <v>8968</v>
      </c>
      <c r="C3836" t="s">
        <v>8969</v>
      </c>
      <c r="D3836">
        <v>112.8</v>
      </c>
      <c r="E3836">
        <v>114.5</v>
      </c>
      <c r="F3836">
        <v>99</v>
      </c>
      <c r="G3836">
        <v>96.6</v>
      </c>
      <c r="H3836">
        <v>136.6</v>
      </c>
      <c r="I3836">
        <v>139.9</v>
      </c>
      <c r="J3836">
        <v>100</v>
      </c>
      <c r="K3836">
        <v>100</v>
      </c>
      <c r="L3836" s="1" t="s">
        <v>8968</v>
      </c>
      <c r="M3836" t="s">
        <v>189</v>
      </c>
      <c r="N3836">
        <v>2</v>
      </c>
    </row>
    <row r="3837" spans="1:14" x14ac:dyDescent="0.25">
      <c r="A3837" s="3" t="str">
        <f>HYPERLINK("http://www.ncbi.nlm.nih.gov/gene/6602","6602")</f>
        <v>6602</v>
      </c>
      <c r="B3837" s="1" t="s">
        <v>8970</v>
      </c>
      <c r="C3837" t="s">
        <v>8971</v>
      </c>
      <c r="D3837">
        <v>137</v>
      </c>
      <c r="E3837">
        <v>141.9</v>
      </c>
      <c r="F3837">
        <v>94.2</v>
      </c>
      <c r="G3837">
        <v>89.3</v>
      </c>
      <c r="H3837">
        <v>126.8</v>
      </c>
      <c r="I3837">
        <v>130.1</v>
      </c>
      <c r="J3837">
        <v>100</v>
      </c>
      <c r="K3837">
        <v>100</v>
      </c>
      <c r="L3837" s="1" t="s">
        <v>8970</v>
      </c>
      <c r="M3837" t="s">
        <v>189</v>
      </c>
      <c r="N3837">
        <v>2</v>
      </c>
    </row>
    <row r="3838" spans="1:14" x14ac:dyDescent="0.25">
      <c r="A3838" s="3" t="str">
        <f>HYPERLINK("http://www.ncbi.nlm.nih.gov/gene/6603","6603")</f>
        <v>6603</v>
      </c>
      <c r="B3838" s="1" t="s">
        <v>8972</v>
      </c>
      <c r="C3838" t="s">
        <v>8973</v>
      </c>
      <c r="D3838">
        <v>98.9</v>
      </c>
      <c r="E3838">
        <v>102.9</v>
      </c>
      <c r="F3838">
        <v>87</v>
      </c>
      <c r="G3838">
        <v>85.9</v>
      </c>
      <c r="H3838">
        <v>120.4</v>
      </c>
      <c r="I3838">
        <v>123.7</v>
      </c>
      <c r="J3838">
        <v>99.6</v>
      </c>
      <c r="K3838">
        <v>97</v>
      </c>
      <c r="L3838" s="1" t="s">
        <v>8972</v>
      </c>
      <c r="M3838" t="s">
        <v>1097</v>
      </c>
      <c r="N3838">
        <v>3</v>
      </c>
    </row>
    <row r="3839" spans="1:14" x14ac:dyDescent="0.25">
      <c r="A3839" s="3" t="str">
        <f>HYPERLINK("http://www.ncbi.nlm.nih.gov/gene/6605","6605")</f>
        <v>6605</v>
      </c>
      <c r="B3839" s="1" t="s">
        <v>8974</v>
      </c>
      <c r="C3839" t="s">
        <v>8975</v>
      </c>
      <c r="D3839">
        <v>87.2</v>
      </c>
      <c r="E3839">
        <v>86.1</v>
      </c>
      <c r="F3839">
        <v>95.6</v>
      </c>
      <c r="G3839">
        <v>88.8</v>
      </c>
      <c r="H3839">
        <v>140.80000000000001</v>
      </c>
      <c r="I3839">
        <v>145.80000000000001</v>
      </c>
      <c r="J3839">
        <v>100</v>
      </c>
      <c r="K3839">
        <v>100</v>
      </c>
      <c r="L3839" s="1" t="s">
        <v>8974</v>
      </c>
      <c r="M3839" t="s">
        <v>7532</v>
      </c>
      <c r="N3839">
        <v>4</v>
      </c>
    </row>
    <row r="3840" spans="1:14" x14ac:dyDescent="0.25">
      <c r="A3840" s="3" t="str">
        <f>HYPERLINK("http://www.ncbi.nlm.nih.gov/gene/8243","8243")</f>
        <v>8243</v>
      </c>
      <c r="B3840" s="1" t="s">
        <v>8976</v>
      </c>
      <c r="C3840" t="s">
        <v>8977</v>
      </c>
      <c r="D3840">
        <v>98.5</v>
      </c>
      <c r="E3840">
        <v>102</v>
      </c>
      <c r="F3840">
        <v>100</v>
      </c>
      <c r="G3840">
        <v>98.7</v>
      </c>
      <c r="H3840">
        <v>136</v>
      </c>
      <c r="I3840">
        <v>139.69999999999999</v>
      </c>
      <c r="J3840">
        <v>100</v>
      </c>
      <c r="K3840">
        <v>99.8</v>
      </c>
      <c r="L3840" s="1" t="s">
        <v>8976</v>
      </c>
      <c r="M3840" t="s">
        <v>8978</v>
      </c>
      <c r="N3840">
        <v>6</v>
      </c>
    </row>
    <row r="3841" spans="1:14" x14ac:dyDescent="0.25">
      <c r="A3841" s="3" t="str">
        <f>HYPERLINK("http://www.ncbi.nlm.nih.gov/gene/9126","9126")</f>
        <v>9126</v>
      </c>
      <c r="B3841" s="1" t="s">
        <v>8979</v>
      </c>
      <c r="C3841" t="s">
        <v>8980</v>
      </c>
      <c r="D3841">
        <v>88.8</v>
      </c>
      <c r="E3841">
        <v>91.6</v>
      </c>
      <c r="F3841">
        <v>95.2</v>
      </c>
      <c r="G3841">
        <v>91</v>
      </c>
      <c r="H3841">
        <v>115.9</v>
      </c>
      <c r="I3841">
        <v>119.2</v>
      </c>
      <c r="J3841">
        <v>100</v>
      </c>
      <c r="K3841">
        <v>100</v>
      </c>
      <c r="L3841" s="1" t="s">
        <v>8979</v>
      </c>
      <c r="M3841" t="s">
        <v>3056</v>
      </c>
      <c r="N3841">
        <v>5</v>
      </c>
    </row>
    <row r="3842" spans="1:14" x14ac:dyDescent="0.25">
      <c r="A3842" s="3" t="str">
        <f>HYPERLINK("http://www.ncbi.nlm.nih.gov/gene/23347","23347")</f>
        <v>23347</v>
      </c>
      <c r="B3842" s="1" t="s">
        <v>8981</v>
      </c>
      <c r="C3842" t="s">
        <v>8982</v>
      </c>
      <c r="D3842">
        <v>112</v>
      </c>
      <c r="E3842">
        <v>116.5</v>
      </c>
      <c r="F3842">
        <v>99.5</v>
      </c>
      <c r="G3842">
        <v>96.3</v>
      </c>
      <c r="H3842">
        <v>116.2</v>
      </c>
      <c r="I3842">
        <v>119.8</v>
      </c>
      <c r="J3842">
        <v>100</v>
      </c>
      <c r="K3842">
        <v>100</v>
      </c>
      <c r="L3842" s="1" t="s">
        <v>8981</v>
      </c>
      <c r="M3842" t="s">
        <v>8983</v>
      </c>
      <c r="N3842">
        <v>3</v>
      </c>
    </row>
    <row r="3843" spans="1:14" x14ac:dyDescent="0.25">
      <c r="A3843" s="3" t="str">
        <f>HYPERLINK("http://www.ncbi.nlm.nih.gov/gene/91689","91689")</f>
        <v>91689</v>
      </c>
      <c r="B3843" s="1" t="s">
        <v>8984</v>
      </c>
      <c r="C3843" t="s">
        <v>8985</v>
      </c>
      <c r="D3843">
        <v>192.4</v>
      </c>
      <c r="E3843">
        <v>202.5</v>
      </c>
      <c r="F3843">
        <v>100</v>
      </c>
      <c r="G3843">
        <v>100</v>
      </c>
      <c r="H3843">
        <v>190.8</v>
      </c>
      <c r="I3843">
        <v>196.8</v>
      </c>
      <c r="J3843">
        <v>100</v>
      </c>
      <c r="K3843">
        <v>100</v>
      </c>
      <c r="L3843" s="1" t="s">
        <v>8984</v>
      </c>
      <c r="M3843" t="s">
        <v>8986</v>
      </c>
      <c r="N3843">
        <v>3</v>
      </c>
    </row>
    <row r="3844" spans="1:14" x14ac:dyDescent="0.25">
      <c r="A3844" s="3" t="str">
        <f>HYPERLINK("http://www.ncbi.nlm.nih.gov/gene/56006","56006")</f>
        <v>56006</v>
      </c>
      <c r="B3844" s="1" t="s">
        <v>8987</v>
      </c>
      <c r="C3844" t="s">
        <v>8988</v>
      </c>
      <c r="D3844">
        <v>111.4</v>
      </c>
      <c r="E3844">
        <v>112.3</v>
      </c>
      <c r="F3844">
        <v>100</v>
      </c>
      <c r="G3844">
        <v>100</v>
      </c>
      <c r="H3844">
        <v>138.19999999999999</v>
      </c>
      <c r="I3844">
        <v>141.4</v>
      </c>
      <c r="J3844">
        <v>100</v>
      </c>
      <c r="K3844">
        <v>100</v>
      </c>
      <c r="L3844" s="1" t="s">
        <v>8987</v>
      </c>
      <c r="M3844" t="s">
        <v>228</v>
      </c>
      <c r="N3844">
        <v>3</v>
      </c>
    </row>
    <row r="3845" spans="1:14" x14ac:dyDescent="0.25">
      <c r="A3845" s="3" t="str">
        <f>HYPERLINK("http://www.ncbi.nlm.nih.gov/gene/6606","6606")</f>
        <v>6606</v>
      </c>
      <c r="B3845" s="1" t="s">
        <v>8989</v>
      </c>
      <c r="C3845" t="s">
        <v>8990</v>
      </c>
      <c r="D3845">
        <v>108.6</v>
      </c>
      <c r="E3845">
        <v>112.1</v>
      </c>
      <c r="F3845">
        <v>99.5</v>
      </c>
      <c r="G3845">
        <v>94.7</v>
      </c>
      <c r="H3845">
        <v>137.1</v>
      </c>
      <c r="I3845">
        <v>140.80000000000001</v>
      </c>
      <c r="J3845">
        <v>94.6</v>
      </c>
      <c r="K3845">
        <v>94.6</v>
      </c>
      <c r="L3845" s="1" t="s">
        <v>8989</v>
      </c>
      <c r="M3845" t="s">
        <v>280</v>
      </c>
      <c r="N3845">
        <v>3</v>
      </c>
    </row>
    <row r="3846" spans="1:14" x14ac:dyDescent="0.25">
      <c r="A3846" s="3" t="str">
        <f>HYPERLINK("http://www.ncbi.nlm.nih.gov/gene/6608","6608")</f>
        <v>6608</v>
      </c>
      <c r="B3846" s="1" t="s">
        <v>8991</v>
      </c>
      <c r="C3846" t="s">
        <v>8992</v>
      </c>
      <c r="D3846">
        <v>135.6</v>
      </c>
      <c r="E3846">
        <v>139.69999999999999</v>
      </c>
      <c r="F3846">
        <v>97.8</v>
      </c>
      <c r="G3846">
        <v>94.7</v>
      </c>
      <c r="H3846">
        <v>131.9</v>
      </c>
      <c r="I3846">
        <v>135.6</v>
      </c>
      <c r="J3846">
        <v>100</v>
      </c>
      <c r="K3846">
        <v>100</v>
      </c>
      <c r="L3846" s="1" t="s">
        <v>8991</v>
      </c>
      <c r="M3846" t="s">
        <v>8993</v>
      </c>
      <c r="N3846">
        <v>3</v>
      </c>
    </row>
    <row r="3847" spans="1:14" x14ac:dyDescent="0.25">
      <c r="A3847" s="3" t="str">
        <f>HYPERLINK("http://www.ncbi.nlm.nih.gov/gene/64093","64093")</f>
        <v>64093</v>
      </c>
      <c r="B3847" s="1" t="s">
        <v>8994</v>
      </c>
      <c r="C3847" t="s">
        <v>8995</v>
      </c>
      <c r="D3847">
        <v>127.3</v>
      </c>
      <c r="E3847">
        <v>132.30000000000001</v>
      </c>
      <c r="F3847">
        <v>99.9</v>
      </c>
      <c r="G3847">
        <v>98.4</v>
      </c>
      <c r="H3847">
        <v>142.5</v>
      </c>
      <c r="I3847">
        <v>146.5</v>
      </c>
      <c r="J3847">
        <v>100</v>
      </c>
      <c r="K3847">
        <v>100</v>
      </c>
      <c r="L3847" s="1" t="s">
        <v>8994</v>
      </c>
      <c r="M3847" t="s">
        <v>1642</v>
      </c>
      <c r="N3847">
        <v>4</v>
      </c>
    </row>
    <row r="3848" spans="1:14" x14ac:dyDescent="0.25">
      <c r="A3848" s="3" t="str">
        <f>HYPERLINK("http://www.ncbi.nlm.nih.gov/gene/64094","64094")</f>
        <v>64094</v>
      </c>
      <c r="B3848" s="1" t="s">
        <v>8996</v>
      </c>
      <c r="C3848" t="s">
        <v>8997</v>
      </c>
      <c r="D3848">
        <v>96.6</v>
      </c>
      <c r="E3848">
        <v>101.1</v>
      </c>
      <c r="F3848">
        <v>76.8</v>
      </c>
      <c r="G3848">
        <v>76.599999999999994</v>
      </c>
      <c r="H3848">
        <v>140.69999999999999</v>
      </c>
      <c r="I3848">
        <v>143.6</v>
      </c>
      <c r="J3848">
        <v>100</v>
      </c>
      <c r="K3848">
        <v>100</v>
      </c>
      <c r="L3848" s="1" t="s">
        <v>8996</v>
      </c>
      <c r="M3848" t="s">
        <v>4879</v>
      </c>
      <c r="N3848">
        <v>4</v>
      </c>
    </row>
    <row r="3849" spans="1:14" x14ac:dyDescent="0.25">
      <c r="A3849" s="3" t="str">
        <f>HYPERLINK("http://www.ncbi.nlm.nih.gov/gene/6609","6609")</f>
        <v>6609</v>
      </c>
      <c r="B3849" s="1" t="s">
        <v>8998</v>
      </c>
      <c r="C3849" t="s">
        <v>8999</v>
      </c>
      <c r="D3849">
        <v>176.6</v>
      </c>
      <c r="E3849">
        <v>171.4</v>
      </c>
      <c r="F3849">
        <v>100</v>
      </c>
      <c r="G3849">
        <v>100</v>
      </c>
      <c r="H3849">
        <v>164.7</v>
      </c>
      <c r="I3849">
        <v>167.5</v>
      </c>
      <c r="J3849">
        <v>100</v>
      </c>
      <c r="K3849">
        <v>100</v>
      </c>
      <c r="L3849" s="1" t="s">
        <v>8998</v>
      </c>
      <c r="M3849" t="s">
        <v>6587</v>
      </c>
      <c r="N3849">
        <v>6</v>
      </c>
    </row>
    <row r="3850" spans="1:14" x14ac:dyDescent="0.25">
      <c r="A3850" s="3" t="str">
        <f>HYPERLINK("http://www.ncbi.nlm.nih.gov/gene/55627","55627")</f>
        <v>55627</v>
      </c>
      <c r="B3850" s="1" t="s">
        <v>9000</v>
      </c>
      <c r="C3850" t="s">
        <v>9001</v>
      </c>
      <c r="D3850">
        <v>95</v>
      </c>
      <c r="E3850">
        <v>96.2</v>
      </c>
      <c r="F3850">
        <v>99.4</v>
      </c>
      <c r="G3850">
        <v>94.2</v>
      </c>
      <c r="H3850">
        <v>133.19999999999999</v>
      </c>
      <c r="I3850">
        <v>136.19999999999999</v>
      </c>
      <c r="J3850">
        <v>100</v>
      </c>
      <c r="K3850">
        <v>100</v>
      </c>
      <c r="L3850" s="1" t="s">
        <v>9000</v>
      </c>
      <c r="M3850" t="s">
        <v>9002</v>
      </c>
      <c r="N3850">
        <v>5</v>
      </c>
    </row>
    <row r="3851" spans="1:14" x14ac:dyDescent="0.25">
      <c r="A3851" s="3" t="str">
        <f>HYPERLINK("http://www.ncbi.nlm.nih.gov/gene/23676","23676")</f>
        <v>23676</v>
      </c>
      <c r="B3851" s="1" t="s">
        <v>9003</v>
      </c>
      <c r="C3851" t="s">
        <v>9004</v>
      </c>
      <c r="D3851">
        <v>72.8</v>
      </c>
      <c r="E3851">
        <v>76.2</v>
      </c>
      <c r="F3851">
        <v>100</v>
      </c>
      <c r="G3851">
        <v>97.6</v>
      </c>
      <c r="H3851">
        <v>119.9</v>
      </c>
      <c r="I3851">
        <v>122.6</v>
      </c>
      <c r="J3851">
        <v>100</v>
      </c>
      <c r="K3851">
        <v>100</v>
      </c>
      <c r="L3851" s="1" t="s">
        <v>9003</v>
      </c>
      <c r="M3851" t="s">
        <v>9005</v>
      </c>
      <c r="N3851">
        <v>2</v>
      </c>
    </row>
    <row r="3852" spans="1:14" x14ac:dyDescent="0.25">
      <c r="A3852" s="3" t="str">
        <f>HYPERLINK("http://www.ncbi.nlm.nih.gov/gene/6611","6611")</f>
        <v>6611</v>
      </c>
      <c r="B3852" s="1" t="s">
        <v>9006</v>
      </c>
      <c r="C3852" t="s">
        <v>9007</v>
      </c>
      <c r="D3852">
        <v>82</v>
      </c>
      <c r="E3852">
        <v>80.599999999999994</v>
      </c>
      <c r="F3852">
        <v>91.5</v>
      </c>
      <c r="G3852">
        <v>78.5</v>
      </c>
      <c r="H3852">
        <v>115.8</v>
      </c>
      <c r="I3852">
        <v>118.7</v>
      </c>
      <c r="J3852">
        <v>100</v>
      </c>
      <c r="K3852">
        <v>99.9</v>
      </c>
      <c r="L3852" s="1" t="s">
        <v>9006</v>
      </c>
      <c r="M3852" t="s">
        <v>9008</v>
      </c>
      <c r="N3852">
        <v>5</v>
      </c>
    </row>
    <row r="3853" spans="1:14" x14ac:dyDescent="0.25">
      <c r="A3853" s="3" t="str">
        <f>HYPERLINK("http://www.ncbi.nlm.nih.gov/gene/56950","56950")</f>
        <v>56950</v>
      </c>
      <c r="B3853" s="1" t="s">
        <v>9009</v>
      </c>
      <c r="C3853" t="s">
        <v>9010</v>
      </c>
      <c r="D3853">
        <v>113.4</v>
      </c>
      <c r="E3853">
        <v>117.3</v>
      </c>
      <c r="F3853">
        <v>99.9</v>
      </c>
      <c r="G3853">
        <v>97.8</v>
      </c>
      <c r="H3853">
        <v>127.5</v>
      </c>
      <c r="I3853">
        <v>130.9</v>
      </c>
      <c r="J3853">
        <v>100</v>
      </c>
      <c r="K3853">
        <v>100</v>
      </c>
      <c r="L3853" s="1" t="s">
        <v>9009</v>
      </c>
      <c r="M3853" t="s">
        <v>661</v>
      </c>
      <c r="N3853">
        <v>2</v>
      </c>
    </row>
    <row r="3854" spans="1:14" x14ac:dyDescent="0.25">
      <c r="A3854" s="3" t="str">
        <f>HYPERLINK("http://www.ncbi.nlm.nih.gov/gene/6591","6591")</f>
        <v>6591</v>
      </c>
      <c r="B3854" s="1" t="s">
        <v>9011</v>
      </c>
      <c r="C3854" t="s">
        <v>9012</v>
      </c>
      <c r="D3854">
        <v>117.9</v>
      </c>
      <c r="E3854">
        <v>115.6</v>
      </c>
      <c r="F3854">
        <v>100</v>
      </c>
      <c r="G3854">
        <v>99.1</v>
      </c>
      <c r="H3854">
        <v>152.1</v>
      </c>
      <c r="I3854">
        <v>155.30000000000001</v>
      </c>
      <c r="J3854">
        <v>100</v>
      </c>
      <c r="K3854">
        <v>100</v>
      </c>
      <c r="L3854" s="1" t="s">
        <v>9011</v>
      </c>
      <c r="M3854" t="s">
        <v>9013</v>
      </c>
      <c r="N3854">
        <v>5</v>
      </c>
    </row>
    <row r="3855" spans="1:14" x14ac:dyDescent="0.25">
      <c r="A3855" s="3" t="str">
        <f>HYPERLINK("http://www.ncbi.nlm.nih.gov/gene/6616","6616")</f>
        <v>6616</v>
      </c>
      <c r="B3855" s="1" t="s">
        <v>9014</v>
      </c>
      <c r="C3855" t="s">
        <v>9015</v>
      </c>
      <c r="D3855">
        <v>133.69999999999999</v>
      </c>
      <c r="E3855">
        <v>138.6</v>
      </c>
      <c r="F3855">
        <v>100</v>
      </c>
      <c r="G3855">
        <v>99.9</v>
      </c>
      <c r="H3855">
        <v>135.19999999999999</v>
      </c>
      <c r="I3855">
        <v>138.9</v>
      </c>
      <c r="J3855">
        <v>100</v>
      </c>
      <c r="K3855">
        <v>100</v>
      </c>
      <c r="L3855" s="1" t="s">
        <v>9014</v>
      </c>
      <c r="M3855" t="s">
        <v>995</v>
      </c>
      <c r="N3855">
        <v>3</v>
      </c>
    </row>
    <row r="3856" spans="1:14" x14ac:dyDescent="0.25">
      <c r="A3856" s="3" t="str">
        <f>HYPERLINK("http://www.ncbi.nlm.nih.gov/gene/9342","9342")</f>
        <v>9342</v>
      </c>
      <c r="B3856" s="1" t="s">
        <v>9016</v>
      </c>
      <c r="C3856" t="s">
        <v>9017</v>
      </c>
      <c r="D3856">
        <v>136.5</v>
      </c>
      <c r="E3856">
        <v>140.19999999999999</v>
      </c>
      <c r="F3856">
        <v>100</v>
      </c>
      <c r="G3856">
        <v>100</v>
      </c>
      <c r="H3856">
        <v>129.5</v>
      </c>
      <c r="I3856">
        <v>133.6</v>
      </c>
      <c r="J3856">
        <v>100</v>
      </c>
      <c r="K3856">
        <v>100</v>
      </c>
      <c r="L3856" s="1" t="s">
        <v>9016</v>
      </c>
      <c r="M3856" t="s">
        <v>3238</v>
      </c>
      <c r="N3856">
        <v>4</v>
      </c>
    </row>
    <row r="3857" spans="1:14" x14ac:dyDescent="0.25">
      <c r="A3857" s="3" t="str">
        <f>HYPERLINK("http://www.ncbi.nlm.nih.gov/gene/6622","6622")</f>
        <v>6622</v>
      </c>
      <c r="B3857" s="1" t="s">
        <v>9018</v>
      </c>
      <c r="C3857" t="s">
        <v>9019</v>
      </c>
      <c r="D3857">
        <v>97.1</v>
      </c>
      <c r="E3857">
        <v>98.1</v>
      </c>
      <c r="F3857">
        <v>79.099999999999994</v>
      </c>
      <c r="G3857">
        <v>79.099999999999994</v>
      </c>
      <c r="H3857">
        <v>127.4</v>
      </c>
      <c r="I3857">
        <v>130.6</v>
      </c>
      <c r="J3857">
        <v>79.099999999999994</v>
      </c>
      <c r="K3857">
        <v>79.099999999999994</v>
      </c>
      <c r="L3857" s="1" t="s">
        <v>9018</v>
      </c>
      <c r="M3857" t="s">
        <v>8685</v>
      </c>
      <c r="N3857">
        <v>3</v>
      </c>
    </row>
    <row r="3858" spans="1:14" x14ac:dyDescent="0.25">
      <c r="A3858" s="3" t="str">
        <f>HYPERLINK("http://www.ncbi.nlm.nih.gov/gene/6620","6620")</f>
        <v>6620</v>
      </c>
      <c r="B3858" s="1" t="s">
        <v>9020</v>
      </c>
      <c r="D3858">
        <v>100.5</v>
      </c>
      <c r="E3858">
        <v>103.7</v>
      </c>
      <c r="F3858">
        <v>100</v>
      </c>
      <c r="G3858">
        <v>99.9</v>
      </c>
      <c r="H3858">
        <v>139.19999999999999</v>
      </c>
      <c r="I3858">
        <v>141.4</v>
      </c>
      <c r="J3858">
        <v>100</v>
      </c>
      <c r="K3858">
        <v>100</v>
      </c>
      <c r="L3858" s="1" t="s">
        <v>9020</v>
      </c>
      <c r="M3858" t="s">
        <v>285</v>
      </c>
      <c r="N3858">
        <v>1</v>
      </c>
    </row>
    <row r="3859" spans="1:14" x14ac:dyDescent="0.25">
      <c r="A3859" s="3" t="str">
        <f>HYPERLINK("http://www.ncbi.nlm.nih.gov/gene/79753","79753")</f>
        <v>79753</v>
      </c>
      <c r="B3859" s="1" t="s">
        <v>9021</v>
      </c>
      <c r="C3859" t="s">
        <v>9022</v>
      </c>
      <c r="D3859">
        <v>168.7</v>
      </c>
      <c r="E3859">
        <v>174</v>
      </c>
      <c r="F3859">
        <v>98.9</v>
      </c>
      <c r="G3859">
        <v>97.1</v>
      </c>
      <c r="H3859">
        <v>165.9</v>
      </c>
      <c r="I3859">
        <v>169.4</v>
      </c>
      <c r="J3859">
        <v>100</v>
      </c>
      <c r="K3859">
        <v>100</v>
      </c>
      <c r="L3859" s="1" t="s">
        <v>9021</v>
      </c>
      <c r="M3859" t="s">
        <v>228</v>
      </c>
      <c r="N3859">
        <v>3</v>
      </c>
    </row>
    <row r="3860" spans="1:14" x14ac:dyDescent="0.25">
      <c r="A3860" s="3" t="str">
        <f>HYPERLINK("http://www.ncbi.nlm.nih.gov/gene/677814","677814")</f>
        <v>677814</v>
      </c>
      <c r="B3860" s="1" t="s">
        <v>9023</v>
      </c>
      <c r="C3860" t="s">
        <v>9024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 s="1" t="s">
        <v>9023</v>
      </c>
      <c r="M3860" t="s">
        <v>562</v>
      </c>
      <c r="N3860">
        <v>2</v>
      </c>
    </row>
    <row r="3861" spans="1:14" x14ac:dyDescent="0.25">
      <c r="A3861" s="3" t="str">
        <f>HYPERLINK("http://www.ncbi.nlm.nih.gov/gene/727676","727676")</f>
        <v>727676</v>
      </c>
      <c r="B3861" s="1" t="s">
        <v>9025</v>
      </c>
      <c r="C3861" t="s">
        <v>9026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 s="1" t="s">
        <v>9025</v>
      </c>
      <c r="M3861" t="s">
        <v>288</v>
      </c>
      <c r="N3861">
        <v>4</v>
      </c>
    </row>
    <row r="3862" spans="1:14" x14ac:dyDescent="0.25">
      <c r="A3862" s="3" t="str">
        <f>HYPERLINK("http://www.ncbi.nlm.nih.gov/gene/23020","23020")</f>
        <v>23020</v>
      </c>
      <c r="B3862" s="1" t="s">
        <v>9027</v>
      </c>
      <c r="C3862" t="s">
        <v>9028</v>
      </c>
      <c r="D3862">
        <v>133.80000000000001</v>
      </c>
      <c r="E3862">
        <v>139</v>
      </c>
      <c r="F3862">
        <v>99.9</v>
      </c>
      <c r="G3862">
        <v>99.1</v>
      </c>
      <c r="H3862">
        <v>136.69999999999999</v>
      </c>
      <c r="I3862">
        <v>141</v>
      </c>
      <c r="J3862">
        <v>100</v>
      </c>
      <c r="K3862">
        <v>100</v>
      </c>
      <c r="L3862" s="1" t="s">
        <v>9027</v>
      </c>
      <c r="M3862" t="s">
        <v>302</v>
      </c>
      <c r="N3862">
        <v>2</v>
      </c>
    </row>
    <row r="3863" spans="1:14" x14ac:dyDescent="0.25">
      <c r="A3863" s="3" t="str">
        <f>HYPERLINK("http://www.ncbi.nlm.nih.gov/gene/6628","6628")</f>
        <v>6628</v>
      </c>
      <c r="B3863" s="1" t="s">
        <v>9029</v>
      </c>
      <c r="C3863" t="s">
        <v>9030</v>
      </c>
      <c r="D3863">
        <v>90.5</v>
      </c>
      <c r="E3863">
        <v>93.2</v>
      </c>
      <c r="F3863">
        <v>100</v>
      </c>
      <c r="G3863">
        <v>99.3</v>
      </c>
      <c r="H3863">
        <v>135.9</v>
      </c>
      <c r="I3863">
        <v>139</v>
      </c>
      <c r="J3863">
        <v>100</v>
      </c>
      <c r="K3863">
        <v>100</v>
      </c>
      <c r="L3863" s="1" t="s">
        <v>9029</v>
      </c>
      <c r="M3863" t="s">
        <v>9031</v>
      </c>
      <c r="N3863">
        <v>4</v>
      </c>
    </row>
    <row r="3864" spans="1:14" x14ac:dyDescent="0.25">
      <c r="A3864" s="3" t="str">
        <f>HYPERLINK("http://www.ncbi.nlm.nih.gov/gene/6635","6635")</f>
        <v>6635</v>
      </c>
      <c r="B3864" s="1" t="s">
        <v>9032</v>
      </c>
      <c r="C3864" t="s">
        <v>9033</v>
      </c>
      <c r="D3864">
        <v>100.9</v>
      </c>
      <c r="E3864">
        <v>101.5</v>
      </c>
      <c r="F3864">
        <v>99.5</v>
      </c>
      <c r="G3864">
        <v>92.6</v>
      </c>
      <c r="H3864">
        <v>115.5</v>
      </c>
      <c r="I3864">
        <v>116.7</v>
      </c>
      <c r="J3864">
        <v>100</v>
      </c>
      <c r="K3864">
        <v>100</v>
      </c>
      <c r="L3864" s="1" t="s">
        <v>9032</v>
      </c>
      <c r="M3864" t="s">
        <v>29</v>
      </c>
      <c r="N3864">
        <v>2</v>
      </c>
    </row>
    <row r="3865" spans="1:14" x14ac:dyDescent="0.25">
      <c r="A3865" s="3" t="str">
        <f>HYPERLINK("http://www.ncbi.nlm.nih.gov/gene/6638","6638")</f>
        <v>6638</v>
      </c>
      <c r="B3865" s="1" t="s">
        <v>9034</v>
      </c>
      <c r="C3865" t="s">
        <v>9035</v>
      </c>
      <c r="D3865">
        <v>104.3</v>
      </c>
      <c r="E3865">
        <v>107</v>
      </c>
      <c r="F3865">
        <v>100</v>
      </c>
      <c r="G3865">
        <v>97</v>
      </c>
      <c r="H3865">
        <v>171.3</v>
      </c>
      <c r="I3865">
        <v>175.3</v>
      </c>
      <c r="J3865">
        <v>100</v>
      </c>
      <c r="K3865">
        <v>100</v>
      </c>
      <c r="L3865" s="1" t="s">
        <v>9034</v>
      </c>
      <c r="M3865" t="s">
        <v>5583</v>
      </c>
      <c r="N3865">
        <v>2</v>
      </c>
    </row>
    <row r="3866" spans="1:14" x14ac:dyDescent="0.25">
      <c r="A3866" s="3" t="str">
        <f>HYPERLINK("http://www.ncbi.nlm.nih.gov/gene/6640","6640")</f>
        <v>6640</v>
      </c>
      <c r="B3866" s="1" t="s">
        <v>9036</v>
      </c>
      <c r="C3866" t="s">
        <v>9037</v>
      </c>
      <c r="D3866">
        <v>88.9</v>
      </c>
      <c r="E3866">
        <v>94.9</v>
      </c>
      <c r="F3866">
        <v>87</v>
      </c>
      <c r="G3866">
        <v>78.8</v>
      </c>
      <c r="H3866">
        <v>114</v>
      </c>
      <c r="I3866">
        <v>118.2</v>
      </c>
      <c r="J3866">
        <v>99.3</v>
      </c>
      <c r="K3866">
        <v>97.2</v>
      </c>
      <c r="L3866" s="1" t="s">
        <v>9036</v>
      </c>
      <c r="M3866" t="s">
        <v>197</v>
      </c>
      <c r="N3866">
        <v>2</v>
      </c>
    </row>
    <row r="3867" spans="1:14" x14ac:dyDescent="0.25">
      <c r="A3867" s="3" t="str">
        <f>HYPERLINK("http://www.ncbi.nlm.nih.gov/gene/29887","29887")</f>
        <v>29887</v>
      </c>
      <c r="B3867" s="1" t="s">
        <v>9038</v>
      </c>
      <c r="C3867" t="s">
        <v>9039</v>
      </c>
      <c r="D3867">
        <v>155.80000000000001</v>
      </c>
      <c r="E3867">
        <v>159.9</v>
      </c>
      <c r="F3867">
        <v>96.2</v>
      </c>
      <c r="G3867">
        <v>95.7</v>
      </c>
      <c r="H3867">
        <v>133.69999999999999</v>
      </c>
      <c r="I3867">
        <v>138.80000000000001</v>
      </c>
      <c r="J3867">
        <v>100</v>
      </c>
      <c r="K3867">
        <v>99.6</v>
      </c>
      <c r="L3867" s="1" t="s">
        <v>9038</v>
      </c>
      <c r="M3867" t="s">
        <v>4730</v>
      </c>
      <c r="N3867">
        <v>5</v>
      </c>
    </row>
    <row r="3868" spans="1:14" x14ac:dyDescent="0.25">
      <c r="A3868" s="3" t="str">
        <f>HYPERLINK("http://www.ncbi.nlm.nih.gov/gene/57231","57231")</f>
        <v>57231</v>
      </c>
      <c r="B3868" s="1" t="s">
        <v>9040</v>
      </c>
      <c r="C3868" t="s">
        <v>9041</v>
      </c>
      <c r="D3868">
        <v>91.8</v>
      </c>
      <c r="E3868">
        <v>95.2</v>
      </c>
      <c r="F3868">
        <v>99.6</v>
      </c>
      <c r="G3868">
        <v>95.9</v>
      </c>
      <c r="H3868">
        <v>118</v>
      </c>
      <c r="I3868">
        <v>121.3</v>
      </c>
      <c r="J3868">
        <v>100</v>
      </c>
      <c r="K3868">
        <v>100</v>
      </c>
      <c r="L3868" s="1" t="s">
        <v>9040</v>
      </c>
      <c r="M3868" t="s">
        <v>703</v>
      </c>
      <c r="N3868">
        <v>5</v>
      </c>
    </row>
    <row r="3869" spans="1:14" x14ac:dyDescent="0.25">
      <c r="A3869" s="3" t="str">
        <f>HYPERLINK("http://www.ncbi.nlm.nih.gov/gene/81609","81609")</f>
        <v>81609</v>
      </c>
      <c r="B3869" s="1" t="s">
        <v>9042</v>
      </c>
      <c r="C3869" t="s">
        <v>9043</v>
      </c>
      <c r="D3869">
        <v>129</v>
      </c>
      <c r="E3869">
        <v>133.80000000000001</v>
      </c>
      <c r="F3869">
        <v>100</v>
      </c>
      <c r="G3869">
        <v>99.5</v>
      </c>
      <c r="H3869">
        <v>135.6</v>
      </c>
      <c r="I3869">
        <v>139.9</v>
      </c>
      <c r="J3869">
        <v>100</v>
      </c>
      <c r="K3869">
        <v>100</v>
      </c>
      <c r="L3869" s="1" t="s">
        <v>9042</v>
      </c>
      <c r="M3869" t="s">
        <v>50</v>
      </c>
      <c r="N3869">
        <v>2</v>
      </c>
    </row>
    <row r="3870" spans="1:14" x14ac:dyDescent="0.25">
      <c r="A3870" s="3" t="str">
        <f>HYPERLINK("http://www.ncbi.nlm.nih.gov/gene/55084","55084")</f>
        <v>55084</v>
      </c>
      <c r="B3870" s="1" t="s">
        <v>9044</v>
      </c>
      <c r="C3870" t="s">
        <v>9045</v>
      </c>
      <c r="D3870">
        <v>193.5</v>
      </c>
      <c r="E3870">
        <v>193.9</v>
      </c>
      <c r="F3870">
        <v>97.5</v>
      </c>
      <c r="G3870">
        <v>92.9</v>
      </c>
      <c r="H3870">
        <v>135.69999999999999</v>
      </c>
      <c r="I3870">
        <v>142.4</v>
      </c>
      <c r="J3870">
        <v>97</v>
      </c>
      <c r="K3870">
        <v>95.3</v>
      </c>
      <c r="L3870" s="1" t="s">
        <v>9044</v>
      </c>
      <c r="M3870" t="s">
        <v>228</v>
      </c>
      <c r="N3870">
        <v>3</v>
      </c>
    </row>
    <row r="3871" spans="1:14" x14ac:dyDescent="0.25">
      <c r="A3871" s="3" t="str">
        <f>HYPERLINK("http://www.ncbi.nlm.nih.gov/gene/8651","8651")</f>
        <v>8651</v>
      </c>
      <c r="B3871" s="1" t="s">
        <v>9046</v>
      </c>
      <c r="C3871" t="s">
        <v>9047</v>
      </c>
      <c r="D3871">
        <v>109.5</v>
      </c>
      <c r="E3871">
        <v>101.3</v>
      </c>
      <c r="F3871">
        <v>100</v>
      </c>
      <c r="G3871">
        <v>100</v>
      </c>
      <c r="H3871">
        <v>117.6</v>
      </c>
      <c r="I3871">
        <v>116.7</v>
      </c>
      <c r="J3871">
        <v>100</v>
      </c>
      <c r="K3871">
        <v>100</v>
      </c>
      <c r="L3871" s="1" t="s">
        <v>9046</v>
      </c>
      <c r="M3871" t="s">
        <v>562</v>
      </c>
      <c r="N3871">
        <v>2</v>
      </c>
    </row>
    <row r="3872" spans="1:14" x14ac:dyDescent="0.25">
      <c r="A3872" s="3" t="str">
        <f>HYPERLINK("http://www.ncbi.nlm.nih.gov/gene/122809","122809")</f>
        <v>122809</v>
      </c>
      <c r="B3872" s="1" t="s">
        <v>9048</v>
      </c>
      <c r="C3872" t="s">
        <v>9049</v>
      </c>
      <c r="D3872">
        <v>250</v>
      </c>
      <c r="E3872">
        <v>271.8</v>
      </c>
      <c r="F3872">
        <v>99.9</v>
      </c>
      <c r="G3872">
        <v>99.2</v>
      </c>
      <c r="H3872">
        <v>129.9</v>
      </c>
      <c r="I3872">
        <v>133.9</v>
      </c>
      <c r="J3872">
        <v>100</v>
      </c>
      <c r="K3872">
        <v>100</v>
      </c>
      <c r="L3872" s="1" t="s">
        <v>9048</v>
      </c>
      <c r="M3872" t="s">
        <v>4913</v>
      </c>
      <c r="N3872">
        <v>2</v>
      </c>
    </row>
    <row r="3873" spans="1:14" x14ac:dyDescent="0.25">
      <c r="A3873" s="3" t="str">
        <f>HYPERLINK("http://www.ncbi.nlm.nih.gov/gene/6647","6647")</f>
        <v>6647</v>
      </c>
      <c r="B3873" s="1" t="s">
        <v>9050</v>
      </c>
      <c r="C3873" t="s">
        <v>9051</v>
      </c>
      <c r="D3873">
        <v>141.6</v>
      </c>
      <c r="E3873">
        <v>144.80000000000001</v>
      </c>
      <c r="F3873">
        <v>100</v>
      </c>
      <c r="G3873">
        <v>99.9</v>
      </c>
      <c r="H3873">
        <v>125</v>
      </c>
      <c r="I3873">
        <v>127.2</v>
      </c>
      <c r="J3873">
        <v>100</v>
      </c>
      <c r="K3873">
        <v>100</v>
      </c>
      <c r="L3873" s="1" t="s">
        <v>9050</v>
      </c>
      <c r="M3873" t="s">
        <v>9052</v>
      </c>
      <c r="N3873">
        <v>4</v>
      </c>
    </row>
    <row r="3874" spans="1:14" x14ac:dyDescent="0.25">
      <c r="A3874" s="3" t="str">
        <f>HYPERLINK("http://www.ncbi.nlm.nih.gov/gene/6648","6648")</f>
        <v>6648</v>
      </c>
      <c r="B3874" s="1" t="s">
        <v>9053</v>
      </c>
      <c r="C3874" t="s">
        <v>9054</v>
      </c>
      <c r="D3874">
        <v>213.7</v>
      </c>
      <c r="E3874">
        <v>228.2</v>
      </c>
      <c r="F3874">
        <v>100</v>
      </c>
      <c r="G3874">
        <v>100</v>
      </c>
      <c r="H3874">
        <v>152.5</v>
      </c>
      <c r="I3874">
        <v>158.30000000000001</v>
      </c>
      <c r="J3874">
        <v>100</v>
      </c>
      <c r="K3874">
        <v>100</v>
      </c>
      <c r="L3874" s="1" t="s">
        <v>9053</v>
      </c>
      <c r="M3874" t="s">
        <v>9055</v>
      </c>
      <c r="N3874">
        <v>4</v>
      </c>
    </row>
    <row r="3875" spans="1:14" x14ac:dyDescent="0.25">
      <c r="A3875" s="3" t="str">
        <f>HYPERLINK("http://www.ncbi.nlm.nih.gov/gene/402381","402381")</f>
        <v>402381</v>
      </c>
      <c r="B3875" s="1" t="s">
        <v>9056</v>
      </c>
      <c r="C3875" t="s">
        <v>9057</v>
      </c>
      <c r="D3875">
        <v>111.4</v>
      </c>
      <c r="E3875">
        <v>117.4</v>
      </c>
      <c r="F3875">
        <v>99.7</v>
      </c>
      <c r="G3875">
        <v>96.5</v>
      </c>
      <c r="H3875">
        <v>138.80000000000001</v>
      </c>
      <c r="I3875">
        <v>143</v>
      </c>
      <c r="J3875">
        <v>100</v>
      </c>
      <c r="K3875">
        <v>100</v>
      </c>
      <c r="L3875" s="1" t="s">
        <v>9056</v>
      </c>
      <c r="M3875" t="s">
        <v>9058</v>
      </c>
      <c r="N3875">
        <v>2</v>
      </c>
    </row>
    <row r="3876" spans="1:14" x14ac:dyDescent="0.25">
      <c r="A3876" s="3" t="str">
        <f>HYPERLINK("http://www.ncbi.nlm.nih.gov/gene/6651","6651")</f>
        <v>6651</v>
      </c>
      <c r="B3876" s="1" t="s">
        <v>9059</v>
      </c>
      <c r="C3876" t="s">
        <v>9060</v>
      </c>
      <c r="D3876">
        <v>136.4</v>
      </c>
      <c r="E3876">
        <v>126.1</v>
      </c>
      <c r="F3876">
        <v>98.8</v>
      </c>
      <c r="G3876">
        <v>94.9</v>
      </c>
      <c r="H3876">
        <v>155.9</v>
      </c>
      <c r="I3876">
        <v>151.4</v>
      </c>
      <c r="J3876">
        <v>100</v>
      </c>
      <c r="K3876">
        <v>100</v>
      </c>
      <c r="L3876" s="1" t="s">
        <v>9059</v>
      </c>
      <c r="M3876" t="s">
        <v>2393</v>
      </c>
      <c r="N3876">
        <v>3</v>
      </c>
    </row>
    <row r="3877" spans="1:14" x14ac:dyDescent="0.25">
      <c r="A3877" s="3" t="str">
        <f>HYPERLINK("http://www.ncbi.nlm.nih.gov/gene/6652","6652")</f>
        <v>6652</v>
      </c>
      <c r="B3877" s="1" t="s">
        <v>9061</v>
      </c>
      <c r="C3877" t="s">
        <v>9062</v>
      </c>
      <c r="D3877">
        <v>97.9</v>
      </c>
      <c r="E3877">
        <v>100.3</v>
      </c>
      <c r="F3877">
        <v>90.3</v>
      </c>
      <c r="G3877">
        <v>89.1</v>
      </c>
      <c r="H3877">
        <v>119.3</v>
      </c>
      <c r="I3877">
        <v>122.7</v>
      </c>
      <c r="J3877">
        <v>97</v>
      </c>
      <c r="K3877">
        <v>93.6</v>
      </c>
      <c r="L3877" s="1" t="s">
        <v>9061</v>
      </c>
      <c r="M3877" t="s">
        <v>725</v>
      </c>
      <c r="N3877">
        <v>2</v>
      </c>
    </row>
    <row r="3878" spans="1:14" x14ac:dyDescent="0.25">
      <c r="A3878" s="3" t="str">
        <f>HYPERLINK("http://www.ncbi.nlm.nih.gov/gene/6272","6272")</f>
        <v>6272</v>
      </c>
      <c r="B3878" s="1" t="s">
        <v>9063</v>
      </c>
      <c r="C3878" t="s">
        <v>9064</v>
      </c>
      <c r="D3878">
        <v>114</v>
      </c>
      <c r="E3878">
        <v>117.3</v>
      </c>
      <c r="F3878">
        <v>89.5</v>
      </c>
      <c r="G3878">
        <v>87.5</v>
      </c>
      <c r="H3878">
        <v>135.30000000000001</v>
      </c>
      <c r="I3878">
        <v>138.9</v>
      </c>
      <c r="J3878">
        <v>100</v>
      </c>
      <c r="K3878">
        <v>100</v>
      </c>
      <c r="L3878" s="1" t="s">
        <v>9063</v>
      </c>
      <c r="M3878" t="s">
        <v>661</v>
      </c>
      <c r="N3878">
        <v>2</v>
      </c>
    </row>
    <row r="3879" spans="1:14" x14ac:dyDescent="0.25">
      <c r="A3879" s="3" t="str">
        <f>HYPERLINK("http://www.ncbi.nlm.nih.gov/gene/6654","6654")</f>
        <v>6654</v>
      </c>
      <c r="B3879" s="1" t="s">
        <v>9065</v>
      </c>
      <c r="C3879" t="s">
        <v>9066</v>
      </c>
      <c r="D3879">
        <v>122.4</v>
      </c>
      <c r="E3879">
        <v>123.6</v>
      </c>
      <c r="F3879">
        <v>99.8</v>
      </c>
      <c r="G3879">
        <v>98.4</v>
      </c>
      <c r="H3879">
        <v>124.5</v>
      </c>
      <c r="I3879">
        <v>127.2</v>
      </c>
      <c r="J3879">
        <v>100</v>
      </c>
      <c r="K3879">
        <v>100</v>
      </c>
      <c r="L3879" s="1" t="s">
        <v>9065</v>
      </c>
      <c r="M3879" t="s">
        <v>9067</v>
      </c>
      <c r="N3879">
        <v>11</v>
      </c>
    </row>
    <row r="3880" spans="1:14" x14ac:dyDescent="0.25">
      <c r="A3880" s="3" t="str">
        <f>HYPERLINK("http://www.ncbi.nlm.nih.gov/gene/6655","6655")</f>
        <v>6655</v>
      </c>
      <c r="B3880" s="1" t="s">
        <v>9068</v>
      </c>
      <c r="C3880" t="s">
        <v>9069</v>
      </c>
      <c r="D3880">
        <v>120.1</v>
      </c>
      <c r="E3880">
        <v>123.5</v>
      </c>
      <c r="F3880">
        <v>100</v>
      </c>
      <c r="G3880">
        <v>99.2</v>
      </c>
      <c r="H3880">
        <v>133.30000000000001</v>
      </c>
      <c r="I3880">
        <v>135.5</v>
      </c>
      <c r="J3880">
        <v>100</v>
      </c>
      <c r="K3880">
        <v>100</v>
      </c>
      <c r="L3880" s="1" t="s">
        <v>9068</v>
      </c>
      <c r="M3880" t="s">
        <v>9070</v>
      </c>
      <c r="N3880">
        <v>5</v>
      </c>
    </row>
    <row r="3881" spans="1:14" x14ac:dyDescent="0.25">
      <c r="A3881" s="3" t="str">
        <f>HYPERLINK("http://www.ncbi.nlm.nih.gov/gene/50964","50964")</f>
        <v>50964</v>
      </c>
      <c r="B3881" s="1" t="s">
        <v>9071</v>
      </c>
      <c r="C3881" t="s">
        <v>9072</v>
      </c>
      <c r="D3881">
        <v>100.2</v>
      </c>
      <c r="E3881">
        <v>102.6</v>
      </c>
      <c r="F3881">
        <v>100</v>
      </c>
      <c r="G3881">
        <v>99.5</v>
      </c>
      <c r="H3881">
        <v>136.1</v>
      </c>
      <c r="I3881">
        <v>136.9</v>
      </c>
      <c r="J3881">
        <v>100</v>
      </c>
      <c r="K3881">
        <v>100</v>
      </c>
      <c r="L3881" s="1" t="s">
        <v>9071</v>
      </c>
      <c r="M3881" t="s">
        <v>9073</v>
      </c>
      <c r="N3881">
        <v>4</v>
      </c>
    </row>
    <row r="3882" spans="1:14" x14ac:dyDescent="0.25">
      <c r="A3882" s="3" t="str">
        <f>HYPERLINK("http://www.ncbi.nlm.nih.gov/gene/6663","6663")</f>
        <v>6663</v>
      </c>
      <c r="B3882" s="1" t="s">
        <v>9074</v>
      </c>
      <c r="C3882" t="s">
        <v>9075</v>
      </c>
      <c r="D3882">
        <v>76.599999999999994</v>
      </c>
      <c r="E3882">
        <v>70.3</v>
      </c>
      <c r="F3882">
        <v>99.9</v>
      </c>
      <c r="G3882">
        <v>97.9</v>
      </c>
      <c r="H3882">
        <v>172.8</v>
      </c>
      <c r="I3882">
        <v>173.7</v>
      </c>
      <c r="J3882">
        <v>100</v>
      </c>
      <c r="K3882">
        <v>100</v>
      </c>
      <c r="L3882" s="1" t="s">
        <v>9074</v>
      </c>
      <c r="M3882" t="s">
        <v>9076</v>
      </c>
      <c r="N3882">
        <v>9</v>
      </c>
    </row>
    <row r="3883" spans="1:14" x14ac:dyDescent="0.25">
      <c r="A3883" s="3" t="str">
        <f>HYPERLINK("http://www.ncbi.nlm.nih.gov/gene/6664","6664")</f>
        <v>6664</v>
      </c>
      <c r="B3883" s="1" t="s">
        <v>9077</v>
      </c>
      <c r="C3883" t="s">
        <v>9078</v>
      </c>
      <c r="D3883">
        <v>165.6</v>
      </c>
      <c r="E3883">
        <v>181</v>
      </c>
      <c r="F3883">
        <v>100</v>
      </c>
      <c r="G3883">
        <v>100</v>
      </c>
      <c r="H3883">
        <v>121.5</v>
      </c>
      <c r="I3883">
        <v>118.3</v>
      </c>
      <c r="J3883">
        <v>100</v>
      </c>
      <c r="K3883">
        <v>100</v>
      </c>
      <c r="L3883" s="1" t="s">
        <v>9077</v>
      </c>
      <c r="M3883" t="s">
        <v>189</v>
      </c>
      <c r="N3883">
        <v>2</v>
      </c>
    </row>
    <row r="3884" spans="1:14" x14ac:dyDescent="0.25">
      <c r="A3884" s="3" t="str">
        <f>HYPERLINK("http://www.ncbi.nlm.nih.gov/gene/64321","64321")</f>
        <v>64321</v>
      </c>
      <c r="B3884" s="1" t="s">
        <v>9079</v>
      </c>
      <c r="C3884" t="s">
        <v>9080</v>
      </c>
      <c r="D3884">
        <v>100.1</v>
      </c>
      <c r="E3884">
        <v>71.900000000000006</v>
      </c>
      <c r="F3884">
        <v>100</v>
      </c>
      <c r="G3884">
        <v>99.5</v>
      </c>
      <c r="H3884">
        <v>192.6</v>
      </c>
      <c r="I3884">
        <v>191</v>
      </c>
      <c r="J3884">
        <v>100</v>
      </c>
      <c r="K3884">
        <v>100</v>
      </c>
      <c r="L3884" s="1" t="s">
        <v>9079</v>
      </c>
      <c r="M3884" t="s">
        <v>9081</v>
      </c>
      <c r="N3884">
        <v>3</v>
      </c>
    </row>
    <row r="3885" spans="1:14" x14ac:dyDescent="0.25">
      <c r="A3885" s="3" t="str">
        <f>HYPERLINK("http://www.ncbi.nlm.nih.gov/gene/54345","54345")</f>
        <v>54345</v>
      </c>
      <c r="B3885" s="1" t="s">
        <v>9082</v>
      </c>
      <c r="C3885" t="s">
        <v>9083</v>
      </c>
      <c r="D3885">
        <v>36.6</v>
      </c>
      <c r="E3885">
        <v>32.700000000000003</v>
      </c>
      <c r="F3885">
        <v>70.7</v>
      </c>
      <c r="G3885">
        <v>55.2</v>
      </c>
      <c r="H3885">
        <v>105.6</v>
      </c>
      <c r="I3885">
        <v>106.4</v>
      </c>
      <c r="J3885">
        <v>96.1</v>
      </c>
      <c r="K3885">
        <v>92.6</v>
      </c>
      <c r="L3885" s="1" t="s">
        <v>9082</v>
      </c>
      <c r="M3885" t="s">
        <v>4146</v>
      </c>
      <c r="N3885">
        <v>3</v>
      </c>
    </row>
    <row r="3886" spans="1:14" x14ac:dyDescent="0.25">
      <c r="A3886" s="3" t="str">
        <f>HYPERLINK("http://www.ncbi.nlm.nih.gov/gene/6657","6657")</f>
        <v>6657</v>
      </c>
      <c r="B3886" s="1" t="s">
        <v>9084</v>
      </c>
      <c r="C3886" t="s">
        <v>9085</v>
      </c>
      <c r="D3886">
        <v>190.9</v>
      </c>
      <c r="E3886">
        <v>207.1</v>
      </c>
      <c r="F3886">
        <v>100</v>
      </c>
      <c r="G3886">
        <v>100</v>
      </c>
      <c r="H3886">
        <v>198.9</v>
      </c>
      <c r="I3886">
        <v>208.1</v>
      </c>
      <c r="J3886">
        <v>100</v>
      </c>
      <c r="K3886">
        <v>100</v>
      </c>
      <c r="L3886" s="1" t="s">
        <v>9084</v>
      </c>
      <c r="M3886" t="s">
        <v>9086</v>
      </c>
      <c r="N3886">
        <v>7</v>
      </c>
    </row>
    <row r="3887" spans="1:14" x14ac:dyDescent="0.25">
      <c r="A3887" s="3" t="str">
        <f>HYPERLINK("http://www.ncbi.nlm.nih.gov/gene/6658","6658")</f>
        <v>6658</v>
      </c>
      <c r="B3887" s="1" t="s">
        <v>9087</v>
      </c>
      <c r="C3887" t="s">
        <v>9088</v>
      </c>
      <c r="D3887">
        <v>59.3</v>
      </c>
      <c r="E3887">
        <v>60.2</v>
      </c>
      <c r="F3887">
        <v>91.4</v>
      </c>
      <c r="G3887">
        <v>75.2</v>
      </c>
      <c r="H3887">
        <v>124.3</v>
      </c>
      <c r="I3887">
        <v>125.4</v>
      </c>
      <c r="J3887">
        <v>100</v>
      </c>
      <c r="K3887">
        <v>99.5</v>
      </c>
      <c r="L3887" s="1" t="s">
        <v>9087</v>
      </c>
      <c r="M3887" t="s">
        <v>9089</v>
      </c>
      <c r="N3887">
        <v>4</v>
      </c>
    </row>
    <row r="3888" spans="1:14" x14ac:dyDescent="0.25">
      <c r="A3888" s="3" t="str">
        <f>HYPERLINK("http://www.ncbi.nlm.nih.gov/gene/6659","6659")</f>
        <v>6659</v>
      </c>
      <c r="B3888" s="1" t="s">
        <v>9090</v>
      </c>
      <c r="C3888" t="s">
        <v>9091</v>
      </c>
      <c r="D3888">
        <v>84.2</v>
      </c>
      <c r="E3888">
        <v>83.8</v>
      </c>
      <c r="F3888">
        <v>97.3</v>
      </c>
      <c r="G3888">
        <v>90.9</v>
      </c>
      <c r="H3888">
        <v>114.7</v>
      </c>
      <c r="I3888">
        <v>110.3</v>
      </c>
      <c r="J3888">
        <v>99.9</v>
      </c>
      <c r="K3888">
        <v>98.2</v>
      </c>
      <c r="L3888" s="1" t="s">
        <v>9090</v>
      </c>
      <c r="M3888" t="s">
        <v>189</v>
      </c>
      <c r="N3888">
        <v>2</v>
      </c>
    </row>
    <row r="3889" spans="1:14" x14ac:dyDescent="0.25">
      <c r="A3889" s="3" t="str">
        <f>HYPERLINK("http://www.ncbi.nlm.nih.gov/gene/6660","6660")</f>
        <v>6660</v>
      </c>
      <c r="B3889" s="1" t="s">
        <v>9092</v>
      </c>
      <c r="C3889" t="s">
        <v>9093</v>
      </c>
      <c r="D3889">
        <v>107.6</v>
      </c>
      <c r="E3889">
        <v>112.9</v>
      </c>
      <c r="F3889">
        <v>99.9</v>
      </c>
      <c r="G3889">
        <v>98.9</v>
      </c>
      <c r="H3889">
        <v>145.4</v>
      </c>
      <c r="I3889">
        <v>149.6</v>
      </c>
      <c r="J3889">
        <v>100</v>
      </c>
      <c r="K3889">
        <v>100</v>
      </c>
      <c r="L3889" s="1" t="s">
        <v>9092</v>
      </c>
      <c r="M3889" t="s">
        <v>2411</v>
      </c>
      <c r="N3889">
        <v>3</v>
      </c>
    </row>
    <row r="3890" spans="1:14" x14ac:dyDescent="0.25">
      <c r="A3890" s="3" t="str">
        <f>HYPERLINK("http://www.ncbi.nlm.nih.gov/gene/55553","55553")</f>
        <v>55553</v>
      </c>
      <c r="B3890" s="1" t="s">
        <v>9094</v>
      </c>
      <c r="C3890" t="s">
        <v>9095</v>
      </c>
      <c r="D3890">
        <v>117.1</v>
      </c>
      <c r="E3890">
        <v>123</v>
      </c>
      <c r="F3890">
        <v>99.9</v>
      </c>
      <c r="G3890">
        <v>99.4</v>
      </c>
      <c r="H3890">
        <v>131</v>
      </c>
      <c r="I3890">
        <v>135.4</v>
      </c>
      <c r="J3890">
        <v>100</v>
      </c>
      <c r="K3890">
        <v>100</v>
      </c>
      <c r="L3890" s="1" t="s">
        <v>9094</v>
      </c>
      <c r="M3890" t="s">
        <v>1679</v>
      </c>
      <c r="N3890">
        <v>3</v>
      </c>
    </row>
    <row r="3891" spans="1:14" x14ac:dyDescent="0.25">
      <c r="A3891" s="3" t="str">
        <f>HYPERLINK("http://www.ncbi.nlm.nih.gov/gene/6662","6662")</f>
        <v>6662</v>
      </c>
      <c r="B3891" s="1" t="s">
        <v>9096</v>
      </c>
      <c r="C3891" t="s">
        <v>9097</v>
      </c>
      <c r="D3891">
        <v>153.5</v>
      </c>
      <c r="E3891">
        <v>161</v>
      </c>
      <c r="F3891">
        <v>100</v>
      </c>
      <c r="G3891">
        <v>98.6</v>
      </c>
      <c r="H3891">
        <v>156.6</v>
      </c>
      <c r="I3891">
        <v>161</v>
      </c>
      <c r="J3891">
        <v>100</v>
      </c>
      <c r="K3891">
        <v>100</v>
      </c>
      <c r="L3891" s="1" t="s">
        <v>9096</v>
      </c>
      <c r="M3891" t="s">
        <v>9098</v>
      </c>
      <c r="N3891">
        <v>5</v>
      </c>
    </row>
    <row r="3892" spans="1:14" x14ac:dyDescent="0.25">
      <c r="A3892" s="3" t="str">
        <f>HYPERLINK("http://www.ncbi.nlm.nih.gov/gene/3431","3431")</f>
        <v>3431</v>
      </c>
      <c r="B3892" s="1" t="s">
        <v>9099</v>
      </c>
      <c r="C3892" t="s">
        <v>9100</v>
      </c>
      <c r="D3892">
        <v>130.9</v>
      </c>
      <c r="E3892">
        <v>134.6</v>
      </c>
      <c r="F3892">
        <v>100</v>
      </c>
      <c r="G3892">
        <v>100</v>
      </c>
      <c r="H3892">
        <v>142.80000000000001</v>
      </c>
      <c r="I3892">
        <v>146.5</v>
      </c>
      <c r="J3892">
        <v>100</v>
      </c>
      <c r="K3892">
        <v>100</v>
      </c>
      <c r="L3892" s="1" t="s">
        <v>9099</v>
      </c>
      <c r="M3892" t="s">
        <v>1097</v>
      </c>
      <c r="N3892">
        <v>3</v>
      </c>
    </row>
    <row r="3893" spans="1:14" x14ac:dyDescent="0.25">
      <c r="A3893" s="3" t="str">
        <f>HYPERLINK("http://www.ncbi.nlm.nih.gov/gene/121340","121340")</f>
        <v>121340</v>
      </c>
      <c r="B3893" s="1" t="s">
        <v>9101</v>
      </c>
      <c r="C3893" t="s">
        <v>9102</v>
      </c>
      <c r="D3893">
        <v>151.30000000000001</v>
      </c>
      <c r="E3893">
        <v>150.5</v>
      </c>
      <c r="F3893">
        <v>100</v>
      </c>
      <c r="G3893">
        <v>99.8</v>
      </c>
      <c r="H3893">
        <v>162.9</v>
      </c>
      <c r="I3893">
        <v>162.6</v>
      </c>
      <c r="J3893">
        <v>100</v>
      </c>
      <c r="K3893">
        <v>100</v>
      </c>
      <c r="L3893" s="1" t="s">
        <v>9101</v>
      </c>
      <c r="M3893" t="s">
        <v>239</v>
      </c>
      <c r="N3893">
        <v>4</v>
      </c>
    </row>
    <row r="3894" spans="1:14" x14ac:dyDescent="0.25">
      <c r="A3894" s="3" t="str">
        <f>HYPERLINK("http://www.ncbi.nlm.nih.gov/gene/6674","6674")</f>
        <v>6674</v>
      </c>
      <c r="B3894" s="1" t="s">
        <v>9103</v>
      </c>
      <c r="C3894" t="s">
        <v>9104</v>
      </c>
      <c r="D3894">
        <v>109.3</v>
      </c>
      <c r="E3894">
        <v>112.6</v>
      </c>
      <c r="F3894">
        <v>99.3</v>
      </c>
      <c r="G3894">
        <v>95.8</v>
      </c>
      <c r="H3894">
        <v>106.5</v>
      </c>
      <c r="I3894">
        <v>108.4</v>
      </c>
      <c r="J3894">
        <v>99.9</v>
      </c>
      <c r="K3894">
        <v>98.6</v>
      </c>
      <c r="L3894" s="1" t="s">
        <v>9103</v>
      </c>
      <c r="M3894" t="s">
        <v>1483</v>
      </c>
      <c r="N3894">
        <v>3</v>
      </c>
    </row>
    <row r="3895" spans="1:14" x14ac:dyDescent="0.25">
      <c r="A3895" s="3" t="str">
        <f>HYPERLINK("http://www.ncbi.nlm.nih.gov/gene/6678","6678")</f>
        <v>6678</v>
      </c>
      <c r="B3895" s="1" t="s">
        <v>9105</v>
      </c>
      <c r="C3895" t="s">
        <v>9106</v>
      </c>
      <c r="D3895">
        <v>159.6</v>
      </c>
      <c r="E3895">
        <v>166.2</v>
      </c>
      <c r="F3895">
        <v>100</v>
      </c>
      <c r="G3895">
        <v>100</v>
      </c>
      <c r="H3895">
        <v>137</v>
      </c>
      <c r="I3895">
        <v>140</v>
      </c>
      <c r="J3895">
        <v>100</v>
      </c>
      <c r="K3895">
        <v>100</v>
      </c>
      <c r="L3895" s="1" t="s">
        <v>9105</v>
      </c>
      <c r="M3895" t="s">
        <v>1168</v>
      </c>
      <c r="N3895">
        <v>3</v>
      </c>
    </row>
    <row r="3896" spans="1:14" x14ac:dyDescent="0.25">
      <c r="A3896" s="3" t="str">
        <f>HYPERLINK("http://www.ncbi.nlm.nih.gov/gene/23111","23111")</f>
        <v>23111</v>
      </c>
      <c r="B3896" s="1" t="s">
        <v>9107</v>
      </c>
      <c r="C3896" t="s">
        <v>9108</v>
      </c>
      <c r="D3896">
        <v>150.5</v>
      </c>
      <c r="E3896">
        <v>153.19999999999999</v>
      </c>
      <c r="F3896">
        <v>99.7</v>
      </c>
      <c r="G3896">
        <v>96.8</v>
      </c>
      <c r="H3896">
        <v>148.80000000000001</v>
      </c>
      <c r="I3896">
        <v>150.69999999999999</v>
      </c>
      <c r="J3896">
        <v>100</v>
      </c>
      <c r="K3896">
        <v>100</v>
      </c>
      <c r="L3896" s="1" t="s">
        <v>9107</v>
      </c>
      <c r="M3896" t="s">
        <v>597</v>
      </c>
      <c r="N3896">
        <v>5</v>
      </c>
    </row>
    <row r="3897" spans="1:14" x14ac:dyDescent="0.25">
      <c r="A3897" s="3" t="str">
        <f>HYPERLINK("http://www.ncbi.nlm.nih.gov/gene/6683","6683")</f>
        <v>6683</v>
      </c>
      <c r="B3897" s="1" t="s">
        <v>9109</v>
      </c>
      <c r="C3897" t="s">
        <v>9110</v>
      </c>
      <c r="D3897">
        <v>111.6</v>
      </c>
      <c r="E3897">
        <v>111.5</v>
      </c>
      <c r="F3897">
        <v>99.8</v>
      </c>
      <c r="G3897">
        <v>98.7</v>
      </c>
      <c r="H3897">
        <v>121.6</v>
      </c>
      <c r="I3897">
        <v>124</v>
      </c>
      <c r="J3897">
        <v>100</v>
      </c>
      <c r="K3897">
        <v>100</v>
      </c>
      <c r="L3897" s="1" t="s">
        <v>9109</v>
      </c>
      <c r="M3897" t="s">
        <v>1357</v>
      </c>
      <c r="N3897">
        <v>3</v>
      </c>
    </row>
    <row r="3898" spans="1:14" x14ac:dyDescent="0.25">
      <c r="A3898" s="3" t="str">
        <f>HYPERLINK("http://www.ncbi.nlm.nih.gov/gene/83893","83893")</f>
        <v>83893</v>
      </c>
      <c r="B3898" s="1" t="s">
        <v>9111</v>
      </c>
      <c r="C3898" t="s">
        <v>9112</v>
      </c>
      <c r="D3898">
        <v>161.1</v>
      </c>
      <c r="E3898">
        <v>162.19999999999999</v>
      </c>
      <c r="F3898">
        <v>100</v>
      </c>
      <c r="G3898">
        <v>99.5</v>
      </c>
      <c r="H3898">
        <v>130.1</v>
      </c>
      <c r="I3898">
        <v>132.19999999999999</v>
      </c>
      <c r="J3898">
        <v>100</v>
      </c>
      <c r="K3898">
        <v>100</v>
      </c>
      <c r="L3898" s="1" t="s">
        <v>9111</v>
      </c>
      <c r="M3898" t="s">
        <v>59</v>
      </c>
      <c r="N3898">
        <v>1</v>
      </c>
    </row>
    <row r="3899" spans="1:14" x14ac:dyDescent="0.25">
      <c r="A3899" s="3" t="str">
        <f>HYPERLINK("http://www.ncbi.nlm.nih.gov/gene/166378","166378")</f>
        <v>166378</v>
      </c>
      <c r="B3899" s="1" t="s">
        <v>9113</v>
      </c>
      <c r="C3899" t="s">
        <v>9114</v>
      </c>
      <c r="D3899">
        <v>156.9</v>
      </c>
      <c r="E3899">
        <v>167.7</v>
      </c>
      <c r="F3899">
        <v>100</v>
      </c>
      <c r="G3899">
        <v>99.7</v>
      </c>
      <c r="H3899">
        <v>130.80000000000001</v>
      </c>
      <c r="I3899">
        <v>133.4</v>
      </c>
      <c r="J3899">
        <v>100</v>
      </c>
      <c r="K3899">
        <v>100</v>
      </c>
      <c r="L3899" s="1" t="s">
        <v>9113</v>
      </c>
      <c r="M3899" t="s">
        <v>9115</v>
      </c>
      <c r="N3899">
        <v>6</v>
      </c>
    </row>
    <row r="3900" spans="1:14" x14ac:dyDescent="0.25">
      <c r="A3900" s="3" t="str">
        <f>HYPERLINK("http://www.ncbi.nlm.nih.gov/gene/55812","55812")</f>
        <v>55812</v>
      </c>
      <c r="B3900" s="1" t="s">
        <v>9116</v>
      </c>
      <c r="C3900" t="s">
        <v>9117</v>
      </c>
      <c r="D3900">
        <v>137.4</v>
      </c>
      <c r="E3900">
        <v>138.4</v>
      </c>
      <c r="F3900">
        <v>99.8</v>
      </c>
      <c r="G3900">
        <v>98.2</v>
      </c>
      <c r="H3900">
        <v>133</v>
      </c>
      <c r="I3900">
        <v>133.69999999999999</v>
      </c>
      <c r="J3900">
        <v>100</v>
      </c>
      <c r="K3900">
        <v>100</v>
      </c>
      <c r="L3900" s="1" t="s">
        <v>9116</v>
      </c>
      <c r="M3900" t="s">
        <v>9118</v>
      </c>
      <c r="N3900">
        <v>4</v>
      </c>
    </row>
    <row r="3901" spans="1:14" x14ac:dyDescent="0.25">
      <c r="A3901" s="3" t="str">
        <f>HYPERLINK("http://www.ncbi.nlm.nih.gov/gene/23384","23384")</f>
        <v>23384</v>
      </c>
      <c r="B3901" s="1" t="s">
        <v>9119</v>
      </c>
      <c r="C3901" t="s">
        <v>9120</v>
      </c>
      <c r="D3901">
        <v>140.4</v>
      </c>
      <c r="E3901">
        <v>135.80000000000001</v>
      </c>
      <c r="F3901">
        <v>96</v>
      </c>
      <c r="G3901">
        <v>95.7</v>
      </c>
      <c r="H3901">
        <v>129.5</v>
      </c>
      <c r="I3901">
        <v>130.6</v>
      </c>
      <c r="J3901">
        <v>97.8</v>
      </c>
      <c r="K3901">
        <v>96.2</v>
      </c>
      <c r="L3901" s="1" t="s">
        <v>9119</v>
      </c>
      <c r="M3901" t="s">
        <v>3056</v>
      </c>
      <c r="N3901">
        <v>5</v>
      </c>
    </row>
    <row r="3902" spans="1:14" x14ac:dyDescent="0.25">
      <c r="A3902" s="3" t="str">
        <f>HYPERLINK("http://www.ncbi.nlm.nih.gov/gene/10290","10290")</f>
        <v>10290</v>
      </c>
      <c r="B3902" s="1" t="s">
        <v>9121</v>
      </c>
      <c r="C3902" t="s">
        <v>9122</v>
      </c>
      <c r="D3902">
        <v>123.7</v>
      </c>
      <c r="E3902">
        <v>122.8</v>
      </c>
      <c r="F3902">
        <v>96.1</v>
      </c>
      <c r="G3902">
        <v>88.7</v>
      </c>
      <c r="H3902">
        <v>146.19999999999999</v>
      </c>
      <c r="I3902">
        <v>147.80000000000001</v>
      </c>
      <c r="J3902">
        <v>99.7</v>
      </c>
      <c r="K3902">
        <v>99.7</v>
      </c>
      <c r="L3902" s="1" t="s">
        <v>9121</v>
      </c>
      <c r="M3902" t="s">
        <v>1804</v>
      </c>
      <c r="N3902">
        <v>3</v>
      </c>
    </row>
    <row r="3903" spans="1:14" x14ac:dyDescent="0.25">
      <c r="A3903" s="3" t="str">
        <f>HYPERLINK("http://www.ncbi.nlm.nih.gov/gene/80208","80208")</f>
        <v>80208</v>
      </c>
      <c r="B3903" s="1" t="s">
        <v>9123</v>
      </c>
      <c r="C3903" t="s">
        <v>9124</v>
      </c>
      <c r="D3903">
        <v>130.1</v>
      </c>
      <c r="E3903">
        <v>135</v>
      </c>
      <c r="F3903">
        <v>100</v>
      </c>
      <c r="G3903">
        <v>99.3</v>
      </c>
      <c r="H3903">
        <v>137.69999999999999</v>
      </c>
      <c r="I3903">
        <v>141.80000000000001</v>
      </c>
      <c r="J3903">
        <v>100</v>
      </c>
      <c r="K3903">
        <v>100</v>
      </c>
      <c r="L3903" s="1" t="s">
        <v>9123</v>
      </c>
      <c r="M3903" t="s">
        <v>9125</v>
      </c>
      <c r="N3903">
        <v>6</v>
      </c>
    </row>
    <row r="3904" spans="1:14" x14ac:dyDescent="0.25">
      <c r="A3904" s="3" t="str">
        <f>HYPERLINK("http://www.ncbi.nlm.nih.gov/gene/51324","51324")</f>
        <v>51324</v>
      </c>
      <c r="B3904" s="1" t="s">
        <v>9126</v>
      </c>
      <c r="C3904" t="s">
        <v>9127</v>
      </c>
      <c r="D3904">
        <v>146.6</v>
      </c>
      <c r="E3904">
        <v>152.30000000000001</v>
      </c>
      <c r="F3904">
        <v>99.4</v>
      </c>
      <c r="G3904">
        <v>96.8</v>
      </c>
      <c r="H3904">
        <v>145.30000000000001</v>
      </c>
      <c r="I3904">
        <v>148.6</v>
      </c>
      <c r="J3904">
        <v>100</v>
      </c>
      <c r="K3904">
        <v>100</v>
      </c>
      <c r="L3904" s="1" t="s">
        <v>9126</v>
      </c>
      <c r="M3904" t="s">
        <v>838</v>
      </c>
      <c r="N3904">
        <v>3</v>
      </c>
    </row>
    <row r="3905" spans="1:14" x14ac:dyDescent="0.25">
      <c r="A3905" s="3" t="str">
        <f>HYPERLINK("http://www.ncbi.nlm.nih.gov/gene/6687","6687")</f>
        <v>6687</v>
      </c>
      <c r="B3905" s="1" t="s">
        <v>9128</v>
      </c>
      <c r="C3905" t="s">
        <v>9129</v>
      </c>
      <c r="D3905">
        <v>113.9</v>
      </c>
      <c r="E3905">
        <v>116.2</v>
      </c>
      <c r="F3905">
        <v>88.2</v>
      </c>
      <c r="G3905">
        <v>86.2</v>
      </c>
      <c r="H3905">
        <v>125.6</v>
      </c>
      <c r="I3905">
        <v>129.19999999999999</v>
      </c>
      <c r="J3905">
        <v>100</v>
      </c>
      <c r="K3905">
        <v>100</v>
      </c>
      <c r="L3905" s="1" t="s">
        <v>9128</v>
      </c>
      <c r="M3905" t="s">
        <v>9130</v>
      </c>
      <c r="N3905">
        <v>4</v>
      </c>
    </row>
    <row r="3906" spans="1:14" x14ac:dyDescent="0.25">
      <c r="A3906" s="3" t="str">
        <f>HYPERLINK("http://www.ncbi.nlm.nih.gov/gene/6690","6690")</f>
        <v>6690</v>
      </c>
      <c r="B3906" s="1" t="s">
        <v>9131</v>
      </c>
      <c r="C3906" t="s">
        <v>9132</v>
      </c>
      <c r="D3906">
        <v>99.9</v>
      </c>
      <c r="E3906">
        <v>101.3</v>
      </c>
      <c r="F3906">
        <v>100</v>
      </c>
      <c r="G3906">
        <v>99.3</v>
      </c>
      <c r="H3906">
        <v>144.80000000000001</v>
      </c>
      <c r="I3906">
        <v>147.80000000000001</v>
      </c>
      <c r="J3906">
        <v>100</v>
      </c>
      <c r="K3906">
        <v>100</v>
      </c>
      <c r="L3906" s="1" t="s">
        <v>9131</v>
      </c>
      <c r="M3906" t="s">
        <v>9133</v>
      </c>
      <c r="N3906">
        <v>2</v>
      </c>
    </row>
    <row r="3907" spans="1:14" x14ac:dyDescent="0.25">
      <c r="A3907" s="3" t="str">
        <f>HYPERLINK("http://www.ncbi.nlm.nih.gov/gene/6691","6691")</f>
        <v>6691</v>
      </c>
      <c r="B3907" s="1" t="s">
        <v>9134</v>
      </c>
      <c r="C3907" t="s">
        <v>9135</v>
      </c>
      <c r="D3907">
        <v>110.1</v>
      </c>
      <c r="E3907">
        <v>115.6</v>
      </c>
      <c r="F3907">
        <v>99.3</v>
      </c>
      <c r="G3907">
        <v>99.1</v>
      </c>
      <c r="H3907">
        <v>156.6</v>
      </c>
      <c r="I3907">
        <v>161.19999999999999</v>
      </c>
      <c r="J3907">
        <v>99.3</v>
      </c>
      <c r="K3907">
        <v>99.3</v>
      </c>
      <c r="L3907" s="1" t="s">
        <v>9134</v>
      </c>
      <c r="M3907" t="s">
        <v>59</v>
      </c>
      <c r="N3907">
        <v>1</v>
      </c>
    </row>
    <row r="3908" spans="1:14" x14ac:dyDescent="0.25">
      <c r="A3908" s="3" t="str">
        <f>HYPERLINK("http://www.ncbi.nlm.nih.gov/gene/11005","11005")</f>
        <v>11005</v>
      </c>
      <c r="B3908" s="1" t="s">
        <v>9136</v>
      </c>
      <c r="C3908" t="s">
        <v>9137</v>
      </c>
      <c r="D3908">
        <v>138</v>
      </c>
      <c r="E3908">
        <v>142.1</v>
      </c>
      <c r="F3908">
        <v>99.9</v>
      </c>
      <c r="G3908">
        <v>99.5</v>
      </c>
      <c r="H3908">
        <v>114.1</v>
      </c>
      <c r="I3908">
        <v>116.6</v>
      </c>
      <c r="J3908">
        <v>100</v>
      </c>
      <c r="K3908">
        <v>100</v>
      </c>
      <c r="L3908" s="1" t="s">
        <v>9136</v>
      </c>
      <c r="M3908" t="s">
        <v>4730</v>
      </c>
      <c r="N3908">
        <v>5</v>
      </c>
    </row>
    <row r="3909" spans="1:14" x14ac:dyDescent="0.25">
      <c r="A3909" s="3" t="str">
        <f>HYPERLINK("http://www.ncbi.nlm.nih.gov/gene/10653","10653")</f>
        <v>10653</v>
      </c>
      <c r="B3909" s="1" t="s">
        <v>9138</v>
      </c>
      <c r="C3909" t="s">
        <v>9139</v>
      </c>
      <c r="D3909">
        <v>75.099999999999994</v>
      </c>
      <c r="E3909">
        <v>77.3</v>
      </c>
      <c r="F3909">
        <v>98.5</v>
      </c>
      <c r="G3909">
        <v>83.8</v>
      </c>
      <c r="H3909">
        <v>133.6</v>
      </c>
      <c r="I3909">
        <v>136.9</v>
      </c>
      <c r="J3909">
        <v>100</v>
      </c>
      <c r="K3909">
        <v>100</v>
      </c>
      <c r="L3909" s="1" t="s">
        <v>9138</v>
      </c>
      <c r="M3909" t="s">
        <v>9140</v>
      </c>
      <c r="N3909">
        <v>3</v>
      </c>
    </row>
    <row r="3910" spans="1:14" x14ac:dyDescent="0.25">
      <c r="A3910" s="3" t="str">
        <f>HYPERLINK("http://www.ncbi.nlm.nih.gov/gene/124976","124976")</f>
        <v>124976</v>
      </c>
      <c r="B3910" s="1" t="s">
        <v>9141</v>
      </c>
      <c r="C3910" t="s">
        <v>9142</v>
      </c>
      <c r="D3910">
        <v>141.30000000000001</v>
      </c>
      <c r="E3910">
        <v>141.80000000000001</v>
      </c>
      <c r="F3910">
        <v>92.1</v>
      </c>
      <c r="G3910">
        <v>89.3</v>
      </c>
      <c r="H3910">
        <v>131.19999999999999</v>
      </c>
      <c r="I3910">
        <v>136.19999999999999</v>
      </c>
      <c r="J3910">
        <v>97.6</v>
      </c>
      <c r="K3910">
        <v>95.7</v>
      </c>
      <c r="L3910" s="1" t="s">
        <v>9141</v>
      </c>
      <c r="M3910" t="s">
        <v>269</v>
      </c>
      <c r="N3910">
        <v>3</v>
      </c>
    </row>
    <row r="3911" spans="1:14" x14ac:dyDescent="0.25">
      <c r="A3911" s="3" t="str">
        <f>HYPERLINK("http://www.ncbi.nlm.nih.gov/gene/6695","6695")</f>
        <v>6695</v>
      </c>
      <c r="B3911" s="1" t="s">
        <v>9143</v>
      </c>
      <c r="C3911" t="s">
        <v>9144</v>
      </c>
      <c r="D3911">
        <v>119</v>
      </c>
      <c r="E3911">
        <v>123.7</v>
      </c>
      <c r="F3911">
        <v>100</v>
      </c>
      <c r="G3911">
        <v>99.5</v>
      </c>
      <c r="H3911">
        <v>143.30000000000001</v>
      </c>
      <c r="I3911">
        <v>148.19999999999999</v>
      </c>
      <c r="J3911">
        <v>100</v>
      </c>
      <c r="K3911">
        <v>100</v>
      </c>
      <c r="L3911" s="1" t="s">
        <v>9143</v>
      </c>
      <c r="M3911" t="s">
        <v>189</v>
      </c>
      <c r="N3911">
        <v>2</v>
      </c>
    </row>
    <row r="3912" spans="1:14" x14ac:dyDescent="0.25">
      <c r="A3912" s="3" t="str">
        <f>HYPERLINK("http://www.ncbi.nlm.nih.gov/gene/8405","8405")</f>
        <v>8405</v>
      </c>
      <c r="B3912" s="1" t="s">
        <v>9145</v>
      </c>
      <c r="C3912" t="s">
        <v>9146</v>
      </c>
      <c r="D3912">
        <v>161.6</v>
      </c>
      <c r="E3912">
        <v>167.9</v>
      </c>
      <c r="F3912">
        <v>100</v>
      </c>
      <c r="G3912">
        <v>100</v>
      </c>
      <c r="H3912">
        <v>128.69999999999999</v>
      </c>
      <c r="I3912">
        <v>132.4</v>
      </c>
      <c r="J3912">
        <v>100</v>
      </c>
      <c r="K3912">
        <v>100</v>
      </c>
      <c r="L3912" s="1" t="s">
        <v>9145</v>
      </c>
      <c r="M3912" t="s">
        <v>189</v>
      </c>
      <c r="N3912">
        <v>2</v>
      </c>
    </row>
    <row r="3913" spans="1:14" x14ac:dyDescent="0.25">
      <c r="A3913" s="3" t="str">
        <f>HYPERLINK("http://www.ncbi.nlm.nih.gov/gene/6694","6694")</f>
        <v>6694</v>
      </c>
      <c r="B3913" s="1" t="s">
        <v>9147</v>
      </c>
      <c r="C3913" t="s">
        <v>9148</v>
      </c>
      <c r="D3913">
        <v>121</v>
      </c>
      <c r="E3913">
        <v>123.7</v>
      </c>
      <c r="F3913">
        <v>100</v>
      </c>
      <c r="G3913">
        <v>99.9</v>
      </c>
      <c r="H3913">
        <v>117.9</v>
      </c>
      <c r="I3913">
        <v>120.3</v>
      </c>
      <c r="J3913">
        <v>100</v>
      </c>
      <c r="K3913">
        <v>100</v>
      </c>
      <c r="L3913" s="1" t="s">
        <v>9147</v>
      </c>
      <c r="M3913" t="s">
        <v>302</v>
      </c>
      <c r="N3913">
        <v>2</v>
      </c>
    </row>
    <row r="3914" spans="1:14" x14ac:dyDescent="0.25">
      <c r="A3914" s="3" t="str">
        <f>HYPERLINK("http://www.ncbi.nlm.nih.gov/gene/84888","84888")</f>
        <v>84888</v>
      </c>
      <c r="B3914" s="1" t="s">
        <v>9149</v>
      </c>
      <c r="C3914" t="s">
        <v>9150</v>
      </c>
      <c r="D3914">
        <v>75.599999999999994</v>
      </c>
      <c r="E3914">
        <v>77.099999999999994</v>
      </c>
      <c r="F3914">
        <v>85.9</v>
      </c>
      <c r="G3914">
        <v>74.599999999999994</v>
      </c>
      <c r="H3914">
        <v>119.1</v>
      </c>
      <c r="I3914">
        <v>122</v>
      </c>
      <c r="J3914">
        <v>100</v>
      </c>
      <c r="K3914">
        <v>100</v>
      </c>
      <c r="L3914" s="1" t="s">
        <v>9149</v>
      </c>
      <c r="M3914" t="s">
        <v>502</v>
      </c>
      <c r="N3914">
        <v>2</v>
      </c>
    </row>
    <row r="3915" spans="1:14" x14ac:dyDescent="0.25">
      <c r="A3915" s="3" t="str">
        <f>HYPERLINK("http://www.ncbi.nlm.nih.gov/gene/6697","6697")</f>
        <v>6697</v>
      </c>
      <c r="B3915" s="1" t="s">
        <v>9151</v>
      </c>
      <c r="C3915" t="s">
        <v>9152</v>
      </c>
      <c r="D3915">
        <v>160.4</v>
      </c>
      <c r="E3915">
        <v>170.3</v>
      </c>
      <c r="F3915">
        <v>99.8</v>
      </c>
      <c r="G3915">
        <v>96.3</v>
      </c>
      <c r="H3915">
        <v>135.4</v>
      </c>
      <c r="I3915">
        <v>138.5</v>
      </c>
      <c r="J3915">
        <v>100</v>
      </c>
      <c r="K3915">
        <v>100</v>
      </c>
      <c r="L3915" s="1" t="s">
        <v>9151</v>
      </c>
      <c r="M3915" t="s">
        <v>9153</v>
      </c>
      <c r="N3915">
        <v>6</v>
      </c>
    </row>
    <row r="3916" spans="1:14" x14ac:dyDescent="0.25">
      <c r="A3916" s="3" t="str">
        <f>HYPERLINK("http://www.ncbi.nlm.nih.gov/gene/161742","161742")</f>
        <v>161742</v>
      </c>
      <c r="B3916" s="1" t="s">
        <v>9154</v>
      </c>
      <c r="C3916" t="s">
        <v>9155</v>
      </c>
      <c r="D3916">
        <v>167.9</v>
      </c>
      <c r="E3916">
        <v>171.2</v>
      </c>
      <c r="F3916">
        <v>100</v>
      </c>
      <c r="G3916">
        <v>98.9</v>
      </c>
      <c r="H3916">
        <v>143</v>
      </c>
      <c r="I3916">
        <v>145</v>
      </c>
      <c r="J3916">
        <v>100</v>
      </c>
      <c r="K3916">
        <v>100</v>
      </c>
      <c r="L3916" s="1" t="s">
        <v>9154</v>
      </c>
      <c r="M3916" t="s">
        <v>9156</v>
      </c>
      <c r="N3916">
        <v>6</v>
      </c>
    </row>
    <row r="3917" spans="1:14" x14ac:dyDescent="0.25">
      <c r="A3917" s="3" t="str">
        <f>HYPERLINK("http://www.ncbi.nlm.nih.gov/gene/83932","83932")</f>
        <v>83932</v>
      </c>
      <c r="B3917" s="1" t="s">
        <v>9157</v>
      </c>
      <c r="C3917" t="s">
        <v>9158</v>
      </c>
      <c r="D3917">
        <v>187.5</v>
      </c>
      <c r="E3917">
        <v>185.3</v>
      </c>
      <c r="F3917">
        <v>100</v>
      </c>
      <c r="G3917">
        <v>100</v>
      </c>
      <c r="H3917">
        <v>126.6</v>
      </c>
      <c r="I3917">
        <v>126.7</v>
      </c>
      <c r="J3917">
        <v>100</v>
      </c>
      <c r="K3917">
        <v>100</v>
      </c>
      <c r="L3917" s="1" t="s">
        <v>9157</v>
      </c>
      <c r="M3917" t="s">
        <v>53</v>
      </c>
      <c r="N3917">
        <v>2</v>
      </c>
    </row>
    <row r="3918" spans="1:14" x14ac:dyDescent="0.25">
      <c r="A3918" s="3" t="str">
        <f>HYPERLINK("http://www.ncbi.nlm.nih.gov/gene/81848","81848")</f>
        <v>81848</v>
      </c>
      <c r="B3918" s="1" t="s">
        <v>9159</v>
      </c>
      <c r="C3918" t="s">
        <v>9160</v>
      </c>
      <c r="D3918">
        <v>156.80000000000001</v>
      </c>
      <c r="E3918">
        <v>153.19999999999999</v>
      </c>
      <c r="F3918">
        <v>100</v>
      </c>
      <c r="G3918">
        <v>100</v>
      </c>
      <c r="H3918">
        <v>157.69999999999999</v>
      </c>
      <c r="I3918">
        <v>158.6</v>
      </c>
      <c r="J3918">
        <v>100</v>
      </c>
      <c r="K3918">
        <v>100</v>
      </c>
      <c r="L3918" s="1" t="s">
        <v>9159</v>
      </c>
      <c r="M3918" t="s">
        <v>2948</v>
      </c>
      <c r="N3918">
        <v>4</v>
      </c>
    </row>
    <row r="3919" spans="1:14" x14ac:dyDescent="0.25">
      <c r="A3919" s="3" t="str">
        <f>HYPERLINK("http://www.ncbi.nlm.nih.gov/gene/6708","6708")</f>
        <v>6708</v>
      </c>
      <c r="B3919" s="1" t="s">
        <v>9161</v>
      </c>
      <c r="C3919" t="s">
        <v>9162</v>
      </c>
      <c r="D3919">
        <v>126.1</v>
      </c>
      <c r="E3919">
        <v>129.80000000000001</v>
      </c>
      <c r="F3919">
        <v>99.9</v>
      </c>
      <c r="G3919">
        <v>99.2</v>
      </c>
      <c r="H3919">
        <v>144.4</v>
      </c>
      <c r="I3919">
        <v>148.69999999999999</v>
      </c>
      <c r="J3919">
        <v>100</v>
      </c>
      <c r="K3919">
        <v>100</v>
      </c>
      <c r="L3919" s="1" t="s">
        <v>9161</v>
      </c>
      <c r="M3919" t="s">
        <v>675</v>
      </c>
      <c r="N3919">
        <v>2</v>
      </c>
    </row>
    <row r="3920" spans="1:14" x14ac:dyDescent="0.25">
      <c r="A3920" s="3" t="str">
        <f>HYPERLINK("http://www.ncbi.nlm.nih.gov/gene/6709","6709")</f>
        <v>6709</v>
      </c>
      <c r="B3920" s="1" t="s">
        <v>9163</v>
      </c>
      <c r="C3920" t="s">
        <v>9164</v>
      </c>
      <c r="D3920">
        <v>122.5</v>
      </c>
      <c r="E3920">
        <v>126.6</v>
      </c>
      <c r="F3920">
        <v>99.1</v>
      </c>
      <c r="G3920">
        <v>98.6</v>
      </c>
      <c r="H3920">
        <v>124.5</v>
      </c>
      <c r="I3920">
        <v>128.1</v>
      </c>
      <c r="J3920">
        <v>100</v>
      </c>
      <c r="K3920">
        <v>100</v>
      </c>
      <c r="L3920" s="1" t="s">
        <v>9163</v>
      </c>
      <c r="M3920" t="s">
        <v>9165</v>
      </c>
      <c r="N3920">
        <v>4</v>
      </c>
    </row>
    <row r="3921" spans="1:14" x14ac:dyDescent="0.25">
      <c r="A3921" s="3" t="str">
        <f>HYPERLINK("http://www.ncbi.nlm.nih.gov/gene/6710","6710")</f>
        <v>6710</v>
      </c>
      <c r="B3921" s="1" t="s">
        <v>9166</v>
      </c>
      <c r="C3921" t="s">
        <v>9167</v>
      </c>
      <c r="D3921">
        <v>143.5</v>
      </c>
      <c r="E3921">
        <v>148.4</v>
      </c>
      <c r="F3921">
        <v>100</v>
      </c>
      <c r="G3921">
        <v>100</v>
      </c>
      <c r="H3921">
        <v>148.9</v>
      </c>
      <c r="I3921">
        <v>152.9</v>
      </c>
      <c r="J3921">
        <v>100</v>
      </c>
      <c r="K3921">
        <v>100</v>
      </c>
      <c r="L3921" s="1" t="s">
        <v>9166</v>
      </c>
      <c r="M3921" t="s">
        <v>9168</v>
      </c>
      <c r="N3921">
        <v>2</v>
      </c>
    </row>
    <row r="3922" spans="1:14" x14ac:dyDescent="0.25">
      <c r="A3922" s="3" t="str">
        <f>HYPERLINK("http://www.ncbi.nlm.nih.gov/gene/6712","6712")</f>
        <v>6712</v>
      </c>
      <c r="B3922" s="1" t="s">
        <v>9169</v>
      </c>
      <c r="C3922" t="s">
        <v>9170</v>
      </c>
      <c r="D3922">
        <v>119.5</v>
      </c>
      <c r="E3922">
        <v>120.5</v>
      </c>
      <c r="F3922">
        <v>100</v>
      </c>
      <c r="G3922">
        <v>99.3</v>
      </c>
      <c r="H3922">
        <v>147</v>
      </c>
      <c r="I3922">
        <v>149.9</v>
      </c>
      <c r="J3922">
        <v>99.9</v>
      </c>
      <c r="K3922">
        <v>99.9</v>
      </c>
      <c r="L3922" s="1" t="s">
        <v>9169</v>
      </c>
      <c r="M3922" t="s">
        <v>9171</v>
      </c>
      <c r="N3922">
        <v>4</v>
      </c>
    </row>
    <row r="3923" spans="1:14" x14ac:dyDescent="0.25">
      <c r="A3923" s="3" t="str">
        <f>HYPERLINK("http://www.ncbi.nlm.nih.gov/gene/57731","57731")</f>
        <v>57731</v>
      </c>
      <c r="B3923" s="1" t="s">
        <v>9172</v>
      </c>
      <c r="C3923" t="s">
        <v>9173</v>
      </c>
      <c r="D3923">
        <v>92.4</v>
      </c>
      <c r="E3923">
        <v>91.4</v>
      </c>
      <c r="F3923">
        <v>97.3</v>
      </c>
      <c r="G3923">
        <v>91</v>
      </c>
      <c r="H3923">
        <v>121.5</v>
      </c>
      <c r="I3923">
        <v>124</v>
      </c>
      <c r="J3923">
        <v>100</v>
      </c>
      <c r="K3923">
        <v>100</v>
      </c>
      <c r="L3923" s="1" t="s">
        <v>9172</v>
      </c>
      <c r="M3923" t="s">
        <v>9174</v>
      </c>
      <c r="N3923">
        <v>4</v>
      </c>
    </row>
    <row r="3924" spans="1:14" x14ac:dyDescent="0.25">
      <c r="A3924" s="3" t="str">
        <f>HYPERLINK("http://www.ncbi.nlm.nih.gov/gene/10558","10558")</f>
        <v>10558</v>
      </c>
      <c r="B3924" s="1" t="s">
        <v>9175</v>
      </c>
      <c r="C3924" t="s">
        <v>9176</v>
      </c>
      <c r="D3924">
        <v>129</v>
      </c>
      <c r="E3924">
        <v>132.19999999999999</v>
      </c>
      <c r="F3924">
        <v>99.2</v>
      </c>
      <c r="G3924">
        <v>95.4</v>
      </c>
      <c r="H3924">
        <v>131.6</v>
      </c>
      <c r="I3924">
        <v>134.19999999999999</v>
      </c>
      <c r="J3924">
        <v>100</v>
      </c>
      <c r="K3924">
        <v>100</v>
      </c>
      <c r="L3924" s="1" t="s">
        <v>9175</v>
      </c>
      <c r="M3924" t="s">
        <v>9177</v>
      </c>
      <c r="N3924">
        <v>4</v>
      </c>
    </row>
    <row r="3925" spans="1:14" x14ac:dyDescent="0.25">
      <c r="A3925" s="3" t="str">
        <f>HYPERLINK("http://www.ncbi.nlm.nih.gov/gene/9517","9517")</f>
        <v>9517</v>
      </c>
      <c r="B3925" s="1" t="s">
        <v>9178</v>
      </c>
      <c r="C3925" t="s">
        <v>9179</v>
      </c>
      <c r="D3925">
        <v>153.1</v>
      </c>
      <c r="E3925">
        <v>158.5</v>
      </c>
      <c r="F3925">
        <v>100</v>
      </c>
      <c r="G3925">
        <v>100</v>
      </c>
      <c r="H3925">
        <v>133.19999999999999</v>
      </c>
      <c r="I3925">
        <v>136.9</v>
      </c>
      <c r="J3925">
        <v>100</v>
      </c>
      <c r="K3925">
        <v>100</v>
      </c>
      <c r="L3925" s="1" t="s">
        <v>9178</v>
      </c>
      <c r="M3925" t="s">
        <v>9177</v>
      </c>
      <c r="N3925">
        <v>4</v>
      </c>
    </row>
    <row r="3926" spans="1:14" x14ac:dyDescent="0.25">
      <c r="A3926" s="3" t="str">
        <f>HYPERLINK("http://www.ncbi.nlm.nih.gov/gene/55304","55304")</f>
        <v>55304</v>
      </c>
      <c r="B3926" s="1" t="s">
        <v>9180</v>
      </c>
      <c r="C3926" t="s">
        <v>9181</v>
      </c>
      <c r="D3926">
        <v>150.9</v>
      </c>
      <c r="E3926">
        <v>156.9</v>
      </c>
      <c r="F3926">
        <v>100</v>
      </c>
      <c r="G3926">
        <v>99.9</v>
      </c>
      <c r="H3926">
        <v>115.8</v>
      </c>
      <c r="I3926">
        <v>118.9</v>
      </c>
      <c r="J3926">
        <v>100</v>
      </c>
      <c r="K3926">
        <v>100</v>
      </c>
      <c r="L3926" s="1" t="s">
        <v>9180</v>
      </c>
      <c r="M3926" t="s">
        <v>4626</v>
      </c>
      <c r="N3926">
        <v>2</v>
      </c>
    </row>
    <row r="3927" spans="1:14" x14ac:dyDescent="0.25">
      <c r="A3927" s="3" t="str">
        <f>HYPERLINK("http://www.ncbi.nlm.nih.gov/gene/58472","58472")</f>
        <v>58472</v>
      </c>
      <c r="B3927" s="1" t="s">
        <v>9182</v>
      </c>
      <c r="C3927" t="s">
        <v>9183</v>
      </c>
      <c r="D3927">
        <v>105</v>
      </c>
      <c r="E3927">
        <v>108.8</v>
      </c>
      <c r="F3927">
        <v>100</v>
      </c>
      <c r="G3927">
        <v>97.8</v>
      </c>
      <c r="H3927">
        <v>136.19999999999999</v>
      </c>
      <c r="I3927">
        <v>140.9</v>
      </c>
      <c r="J3927">
        <v>100</v>
      </c>
      <c r="K3927">
        <v>100</v>
      </c>
      <c r="L3927" s="1" t="s">
        <v>9182</v>
      </c>
      <c r="M3927" t="s">
        <v>2188</v>
      </c>
      <c r="N3927">
        <v>3</v>
      </c>
    </row>
    <row r="3928" spans="1:14" x14ac:dyDescent="0.25">
      <c r="A3928" s="3" t="str">
        <f>HYPERLINK("http://www.ncbi.nlm.nih.gov/gene/8878","8878")</f>
        <v>8878</v>
      </c>
      <c r="B3928" s="1" t="s">
        <v>9184</v>
      </c>
      <c r="C3928" t="s">
        <v>9185</v>
      </c>
      <c r="D3928">
        <v>118.2</v>
      </c>
      <c r="E3928">
        <v>125.7</v>
      </c>
      <c r="F3928">
        <v>98.8</v>
      </c>
      <c r="G3928">
        <v>95.5</v>
      </c>
      <c r="H3928">
        <v>137.6</v>
      </c>
      <c r="I3928">
        <v>142.19999999999999</v>
      </c>
      <c r="J3928">
        <v>100</v>
      </c>
      <c r="K3928">
        <v>100</v>
      </c>
      <c r="L3928" s="1" t="s">
        <v>9184</v>
      </c>
      <c r="M3928" t="s">
        <v>9186</v>
      </c>
      <c r="N3928">
        <v>5</v>
      </c>
    </row>
    <row r="3929" spans="1:14" x14ac:dyDescent="0.25">
      <c r="A3929" s="3" t="str">
        <f>HYPERLINK("http://www.ncbi.nlm.nih.gov/gene/6714","6714")</f>
        <v>6714</v>
      </c>
      <c r="B3929" s="1" t="s">
        <v>9187</v>
      </c>
      <c r="C3929" t="s">
        <v>9188</v>
      </c>
      <c r="D3929">
        <v>115.2</v>
      </c>
      <c r="E3929">
        <v>121.9</v>
      </c>
      <c r="F3929">
        <v>100</v>
      </c>
      <c r="G3929">
        <v>99.8</v>
      </c>
      <c r="H3929">
        <v>130.80000000000001</v>
      </c>
      <c r="I3929">
        <v>134.1</v>
      </c>
      <c r="J3929">
        <v>100</v>
      </c>
      <c r="K3929">
        <v>100</v>
      </c>
      <c r="L3929" s="1" t="s">
        <v>9187</v>
      </c>
      <c r="M3929" t="s">
        <v>16</v>
      </c>
      <c r="N3929">
        <v>2</v>
      </c>
    </row>
    <row r="3930" spans="1:14" x14ac:dyDescent="0.25">
      <c r="A3930" s="3" t="str">
        <f>HYPERLINK("http://www.ncbi.nlm.nih.gov/gene/10847","10847")</f>
        <v>10847</v>
      </c>
      <c r="B3930" s="1" t="s">
        <v>9189</v>
      </c>
      <c r="C3930" t="s">
        <v>9190</v>
      </c>
      <c r="D3930">
        <v>177</v>
      </c>
      <c r="E3930">
        <v>168.1</v>
      </c>
      <c r="F3930">
        <v>99.4</v>
      </c>
      <c r="G3930">
        <v>98.9</v>
      </c>
      <c r="H3930">
        <v>164.5</v>
      </c>
      <c r="I3930">
        <v>167.2</v>
      </c>
      <c r="J3930">
        <v>100</v>
      </c>
      <c r="K3930">
        <v>100</v>
      </c>
      <c r="L3930" s="1" t="s">
        <v>9189</v>
      </c>
      <c r="M3930" t="s">
        <v>9191</v>
      </c>
      <c r="N3930">
        <v>4</v>
      </c>
    </row>
    <row r="3931" spans="1:14" x14ac:dyDescent="0.25">
      <c r="A3931" s="3" t="str">
        <f>HYPERLINK("http://www.ncbi.nlm.nih.gov/gene/6716","6716")</f>
        <v>6716</v>
      </c>
      <c r="B3931" s="1" t="s">
        <v>9192</v>
      </c>
      <c r="D3931">
        <v>79.7</v>
      </c>
      <c r="E3931">
        <v>81.7</v>
      </c>
      <c r="F3931">
        <v>99.9</v>
      </c>
      <c r="G3931">
        <v>99</v>
      </c>
      <c r="H3931">
        <v>166.2</v>
      </c>
      <c r="I3931">
        <v>171.7</v>
      </c>
      <c r="J3931">
        <v>100</v>
      </c>
      <c r="K3931">
        <v>100</v>
      </c>
      <c r="L3931" s="1" t="s">
        <v>9192</v>
      </c>
      <c r="M3931" t="s">
        <v>2502</v>
      </c>
      <c r="N3931">
        <v>4</v>
      </c>
    </row>
    <row r="3932" spans="1:14" x14ac:dyDescent="0.25">
      <c r="A3932" s="3" t="str">
        <f>HYPERLINK("http://www.ncbi.nlm.nih.gov/gene/79644","79644")</f>
        <v>79644</v>
      </c>
      <c r="B3932" s="1" t="s">
        <v>9193</v>
      </c>
      <c r="C3932" t="s">
        <v>9194</v>
      </c>
      <c r="D3932">
        <v>127.9</v>
      </c>
      <c r="E3932">
        <v>140.69999999999999</v>
      </c>
      <c r="F3932">
        <v>99.9</v>
      </c>
      <c r="G3932">
        <v>99.1</v>
      </c>
      <c r="H3932">
        <v>155.9</v>
      </c>
      <c r="I3932">
        <v>161.9</v>
      </c>
      <c r="J3932">
        <v>100</v>
      </c>
      <c r="K3932">
        <v>100</v>
      </c>
      <c r="L3932" s="1" t="s">
        <v>9193</v>
      </c>
      <c r="M3932" t="s">
        <v>110</v>
      </c>
      <c r="N3932">
        <v>5</v>
      </c>
    </row>
    <row r="3933" spans="1:14" x14ac:dyDescent="0.25">
      <c r="A3933" s="3" t="str">
        <f>HYPERLINK("http://www.ncbi.nlm.nih.gov/gene/6722","6722")</f>
        <v>6722</v>
      </c>
      <c r="B3933" s="1" t="s">
        <v>9195</v>
      </c>
      <c r="C3933" t="s">
        <v>9196</v>
      </c>
      <c r="D3933">
        <v>180.8</v>
      </c>
      <c r="E3933">
        <v>188.4</v>
      </c>
      <c r="F3933">
        <v>100</v>
      </c>
      <c r="G3933">
        <v>99.4</v>
      </c>
      <c r="H3933">
        <v>137.6</v>
      </c>
      <c r="I3933">
        <v>137.5</v>
      </c>
      <c r="J3933">
        <v>100</v>
      </c>
      <c r="K3933">
        <v>99.9</v>
      </c>
      <c r="L3933" s="1" t="s">
        <v>9195</v>
      </c>
      <c r="M3933" t="s">
        <v>661</v>
      </c>
      <c r="N3933">
        <v>2</v>
      </c>
    </row>
    <row r="3934" spans="1:14" x14ac:dyDescent="0.25">
      <c r="A3934" s="3" t="str">
        <f>HYPERLINK("http://www.ncbi.nlm.nih.gov/gene/6717","6717")</f>
        <v>6717</v>
      </c>
      <c r="B3934" s="1" t="s">
        <v>9197</v>
      </c>
      <c r="C3934" t="s">
        <v>9198</v>
      </c>
      <c r="D3934">
        <v>143.19999999999999</v>
      </c>
      <c r="E3934">
        <v>146.9</v>
      </c>
      <c r="F3934">
        <v>99.9</v>
      </c>
      <c r="G3934">
        <v>97.8</v>
      </c>
      <c r="H3934">
        <v>129.1</v>
      </c>
      <c r="I3934">
        <v>131.19999999999999</v>
      </c>
      <c r="J3934">
        <v>100</v>
      </c>
      <c r="K3934">
        <v>100</v>
      </c>
      <c r="L3934" s="1" t="s">
        <v>9197</v>
      </c>
      <c r="M3934" t="s">
        <v>197</v>
      </c>
      <c r="N3934">
        <v>2</v>
      </c>
    </row>
    <row r="3935" spans="1:14" x14ac:dyDescent="0.25">
      <c r="A3935" s="3" t="str">
        <f>HYPERLINK("http://www.ncbi.nlm.nih.gov/gene/6729","6729")</f>
        <v>6729</v>
      </c>
      <c r="B3935" s="1" t="s">
        <v>9199</v>
      </c>
      <c r="C3935" t="s">
        <v>9200</v>
      </c>
      <c r="D3935">
        <v>129.30000000000001</v>
      </c>
      <c r="E3935">
        <v>133.19999999999999</v>
      </c>
      <c r="F3935">
        <v>99.5</v>
      </c>
      <c r="G3935">
        <v>96.5</v>
      </c>
      <c r="H3935">
        <v>111.4</v>
      </c>
      <c r="I3935">
        <v>114.1</v>
      </c>
      <c r="J3935">
        <v>100</v>
      </c>
      <c r="K3935">
        <v>100</v>
      </c>
      <c r="L3935" s="1" t="s">
        <v>9199</v>
      </c>
      <c r="M3935" t="s">
        <v>9201</v>
      </c>
      <c r="N3935">
        <v>4</v>
      </c>
    </row>
    <row r="3936" spans="1:14" x14ac:dyDescent="0.25">
      <c r="A3936" s="3" t="str">
        <f>HYPERLINK("http://www.ncbi.nlm.nih.gov/gene/6731","6731")</f>
        <v>6731</v>
      </c>
      <c r="B3936" s="1" t="s">
        <v>9202</v>
      </c>
      <c r="C3936" t="s">
        <v>9203</v>
      </c>
      <c r="D3936">
        <v>81.2</v>
      </c>
      <c r="E3936">
        <v>81.8</v>
      </c>
      <c r="F3936">
        <v>97.6</v>
      </c>
      <c r="G3936">
        <v>89.7</v>
      </c>
      <c r="H3936">
        <v>129</v>
      </c>
      <c r="I3936">
        <v>132.5</v>
      </c>
      <c r="J3936">
        <v>100</v>
      </c>
      <c r="K3936">
        <v>100</v>
      </c>
      <c r="L3936" s="1" t="s">
        <v>9202</v>
      </c>
      <c r="M3936" t="s">
        <v>1428</v>
      </c>
      <c r="N3936">
        <v>3</v>
      </c>
    </row>
    <row r="3937" spans="1:14" x14ac:dyDescent="0.25">
      <c r="A3937" s="3" t="str">
        <f>HYPERLINK("http://www.ncbi.nlm.nih.gov/gene/26576","26576")</f>
        <v>26576</v>
      </c>
      <c r="B3937" s="1" t="s">
        <v>9204</v>
      </c>
      <c r="C3937" t="s">
        <v>9205</v>
      </c>
      <c r="D3937">
        <v>116.4</v>
      </c>
      <c r="E3937">
        <v>119.6</v>
      </c>
      <c r="F3937">
        <v>98.7</v>
      </c>
      <c r="G3937">
        <v>96.1</v>
      </c>
      <c r="H3937">
        <v>126.7</v>
      </c>
      <c r="I3937">
        <v>129.6</v>
      </c>
      <c r="J3937">
        <v>100</v>
      </c>
      <c r="K3937">
        <v>100</v>
      </c>
      <c r="L3937" s="1" t="s">
        <v>9204</v>
      </c>
      <c r="M3937" t="s">
        <v>5869</v>
      </c>
      <c r="N3937">
        <v>2</v>
      </c>
    </row>
    <row r="3938" spans="1:14" x14ac:dyDescent="0.25">
      <c r="A3938" s="3" t="str">
        <f>HYPERLINK("http://www.ncbi.nlm.nih.gov/gene/27286","27286")</f>
        <v>27286</v>
      </c>
      <c r="B3938" s="1" t="s">
        <v>9206</v>
      </c>
      <c r="C3938" t="s">
        <v>9207</v>
      </c>
      <c r="D3938">
        <v>73</v>
      </c>
      <c r="E3938">
        <v>76.900000000000006</v>
      </c>
      <c r="F3938">
        <v>99.8</v>
      </c>
      <c r="G3938">
        <v>96.5</v>
      </c>
      <c r="H3938">
        <v>137</v>
      </c>
      <c r="I3938">
        <v>141.6</v>
      </c>
      <c r="J3938">
        <v>100</v>
      </c>
      <c r="K3938">
        <v>100</v>
      </c>
      <c r="L3938" s="1" t="s">
        <v>9206</v>
      </c>
      <c r="M3938" t="s">
        <v>9208</v>
      </c>
      <c r="N3938">
        <v>2</v>
      </c>
    </row>
    <row r="3939" spans="1:14" x14ac:dyDescent="0.25">
      <c r="A3939" s="3" t="str">
        <f>HYPERLINK("http://www.ncbi.nlm.nih.gov/gene/6736","6736")</f>
        <v>6736</v>
      </c>
      <c r="B3939" s="1" t="s">
        <v>9209</v>
      </c>
      <c r="C3939" t="s">
        <v>9210</v>
      </c>
      <c r="D3939">
        <v>37</v>
      </c>
      <c r="E3939">
        <v>35.5</v>
      </c>
      <c r="F3939">
        <v>50</v>
      </c>
      <c r="G3939">
        <v>50</v>
      </c>
      <c r="H3939">
        <v>67.400000000000006</v>
      </c>
      <c r="I3939">
        <v>68.599999999999994</v>
      </c>
      <c r="J3939">
        <v>60</v>
      </c>
      <c r="K3939">
        <v>60</v>
      </c>
      <c r="L3939" s="1" t="s">
        <v>9209</v>
      </c>
      <c r="M3939" t="s">
        <v>9211</v>
      </c>
      <c r="N3939">
        <v>2</v>
      </c>
    </row>
    <row r="3940" spans="1:14" x14ac:dyDescent="0.25">
      <c r="A3940" s="3" t="str">
        <f>HYPERLINK("http://www.ncbi.nlm.nih.gov/gene/6742","6742")</f>
        <v>6742</v>
      </c>
      <c r="B3940" s="1" t="s">
        <v>9212</v>
      </c>
      <c r="C3940" t="s">
        <v>9213</v>
      </c>
      <c r="D3940">
        <v>67.3</v>
      </c>
      <c r="E3940">
        <v>68.3</v>
      </c>
      <c r="F3940">
        <v>99.8</v>
      </c>
      <c r="G3940">
        <v>97.6</v>
      </c>
      <c r="H3940">
        <v>168.6</v>
      </c>
      <c r="I3940">
        <v>172.3</v>
      </c>
      <c r="J3940">
        <v>100</v>
      </c>
      <c r="K3940">
        <v>100</v>
      </c>
      <c r="L3940" s="1" t="s">
        <v>9212</v>
      </c>
      <c r="M3940" t="s">
        <v>746</v>
      </c>
      <c r="N3940">
        <v>3</v>
      </c>
    </row>
    <row r="3941" spans="1:14" x14ac:dyDescent="0.25">
      <c r="A3941" s="3" t="str">
        <f>HYPERLINK("http://www.ncbi.nlm.nih.gov/gene/6748","6748")</f>
        <v>6748</v>
      </c>
      <c r="B3941" s="1" t="s">
        <v>9214</v>
      </c>
      <c r="C3941" t="s">
        <v>9215</v>
      </c>
      <c r="D3941">
        <v>110.5</v>
      </c>
      <c r="E3941">
        <v>111.5</v>
      </c>
      <c r="F3941">
        <v>100</v>
      </c>
      <c r="G3941">
        <v>99.7</v>
      </c>
      <c r="H3941">
        <v>123.4</v>
      </c>
      <c r="I3941">
        <v>125.6</v>
      </c>
      <c r="J3941">
        <v>100</v>
      </c>
      <c r="K3941">
        <v>100</v>
      </c>
      <c r="L3941" s="1" t="s">
        <v>9214</v>
      </c>
      <c r="M3941" t="s">
        <v>9216</v>
      </c>
      <c r="N3941">
        <v>3</v>
      </c>
    </row>
    <row r="3942" spans="1:14" x14ac:dyDescent="0.25">
      <c r="A3942" s="3" t="str">
        <f>HYPERLINK("http://www.ncbi.nlm.nih.gov/gene/6755","6755")</f>
        <v>6755</v>
      </c>
      <c r="B3942" s="1" t="s">
        <v>9217</v>
      </c>
      <c r="C3942" t="s">
        <v>9218</v>
      </c>
      <c r="D3942">
        <v>153.30000000000001</v>
      </c>
      <c r="E3942">
        <v>143.5</v>
      </c>
      <c r="F3942">
        <v>100</v>
      </c>
      <c r="G3942">
        <v>99.9</v>
      </c>
      <c r="H3942">
        <v>179.8</v>
      </c>
      <c r="I3942">
        <v>179.8</v>
      </c>
      <c r="J3942">
        <v>100</v>
      </c>
      <c r="K3942">
        <v>100</v>
      </c>
      <c r="L3942" s="1" t="s">
        <v>9217</v>
      </c>
      <c r="M3942" t="s">
        <v>22</v>
      </c>
      <c r="N3942">
        <v>1</v>
      </c>
    </row>
    <row r="3943" spans="1:14" x14ac:dyDescent="0.25">
      <c r="A3943" s="3" t="str">
        <f>HYPERLINK("http://www.ncbi.nlm.nih.gov/gene/6756","6756")</f>
        <v>6756</v>
      </c>
      <c r="B3943" s="1" t="s">
        <v>9219</v>
      </c>
      <c r="C3943" t="s">
        <v>9220</v>
      </c>
      <c r="D3943">
        <v>111.4</v>
      </c>
      <c r="E3943">
        <v>114.5</v>
      </c>
      <c r="F3943">
        <v>82.2</v>
      </c>
      <c r="G3943">
        <v>82</v>
      </c>
      <c r="H3943">
        <v>137.4</v>
      </c>
      <c r="I3943">
        <v>139.9</v>
      </c>
      <c r="J3943">
        <v>100</v>
      </c>
      <c r="K3943">
        <v>100</v>
      </c>
      <c r="L3943" s="1" t="s">
        <v>9219</v>
      </c>
      <c r="M3943" t="s">
        <v>22</v>
      </c>
      <c r="N3943">
        <v>1</v>
      </c>
    </row>
    <row r="3944" spans="1:14" x14ac:dyDescent="0.25">
      <c r="A3944" s="3" t="str">
        <f>HYPERLINK("http://www.ncbi.nlm.nih.gov/gene/6757","6757")</f>
        <v>6757</v>
      </c>
      <c r="B3944" s="1" t="s">
        <v>9221</v>
      </c>
      <c r="C3944" t="s">
        <v>9222</v>
      </c>
      <c r="D3944">
        <v>70.8</v>
      </c>
      <c r="E3944">
        <v>72.599999999999994</v>
      </c>
      <c r="F3944">
        <v>65.3</v>
      </c>
      <c r="G3944">
        <v>62.6</v>
      </c>
      <c r="H3944">
        <v>156.5</v>
      </c>
      <c r="I3944">
        <v>160.19999999999999</v>
      </c>
      <c r="J3944">
        <v>100</v>
      </c>
      <c r="K3944">
        <v>100</v>
      </c>
      <c r="L3944" s="1" t="s">
        <v>9221</v>
      </c>
      <c r="M3944" t="s">
        <v>22</v>
      </c>
      <c r="N3944">
        <v>1</v>
      </c>
    </row>
    <row r="3945" spans="1:14" x14ac:dyDescent="0.25">
      <c r="A3945" s="3" t="str">
        <f>HYPERLINK("http://www.ncbi.nlm.nih.gov/gene/6768","6768")</f>
        <v>6768</v>
      </c>
      <c r="B3945" s="1" t="s">
        <v>9223</v>
      </c>
      <c r="C3945" t="s">
        <v>9224</v>
      </c>
      <c r="D3945">
        <v>155.9</v>
      </c>
      <c r="E3945">
        <v>163.6</v>
      </c>
      <c r="F3945">
        <v>99.9</v>
      </c>
      <c r="G3945">
        <v>98.6</v>
      </c>
      <c r="H3945">
        <v>138</v>
      </c>
      <c r="I3945">
        <v>141.69999999999999</v>
      </c>
      <c r="J3945">
        <v>100</v>
      </c>
      <c r="K3945">
        <v>100</v>
      </c>
      <c r="L3945" s="1" t="s">
        <v>9223</v>
      </c>
      <c r="M3945" t="s">
        <v>246</v>
      </c>
      <c r="N3945">
        <v>3</v>
      </c>
    </row>
    <row r="3946" spans="1:14" x14ac:dyDescent="0.25">
      <c r="A3946" s="3" t="str">
        <f>HYPERLINK("http://www.ncbi.nlm.nih.gov/gene/6487","6487")</f>
        <v>6487</v>
      </c>
      <c r="B3946" s="1" t="s">
        <v>9225</v>
      </c>
      <c r="C3946" t="s">
        <v>9226</v>
      </c>
      <c r="D3946">
        <v>101.3</v>
      </c>
      <c r="E3946">
        <v>104.3</v>
      </c>
      <c r="F3946">
        <v>68.8</v>
      </c>
      <c r="G3946">
        <v>68.599999999999994</v>
      </c>
      <c r="H3946">
        <v>134.19999999999999</v>
      </c>
      <c r="I3946">
        <v>137.4</v>
      </c>
      <c r="J3946">
        <v>95.3</v>
      </c>
      <c r="K3946">
        <v>95.2</v>
      </c>
      <c r="L3946" s="1" t="s">
        <v>9225</v>
      </c>
      <c r="M3946" t="s">
        <v>214</v>
      </c>
      <c r="N3946">
        <v>5</v>
      </c>
    </row>
    <row r="3947" spans="1:14" x14ac:dyDescent="0.25">
      <c r="A3947" s="3" t="str">
        <f>HYPERLINK("http://www.ncbi.nlm.nih.gov/gene/8869","8869")</f>
        <v>8869</v>
      </c>
      <c r="B3947" s="1" t="s">
        <v>9227</v>
      </c>
      <c r="C3947" t="s">
        <v>9228</v>
      </c>
      <c r="D3947">
        <v>116.7</v>
      </c>
      <c r="E3947">
        <v>117.5</v>
      </c>
      <c r="F3947">
        <v>85</v>
      </c>
      <c r="G3947">
        <v>84.2</v>
      </c>
      <c r="H3947">
        <v>121.3</v>
      </c>
      <c r="I3947">
        <v>124.2</v>
      </c>
      <c r="J3947">
        <v>98.7</v>
      </c>
      <c r="K3947">
        <v>98.4</v>
      </c>
      <c r="L3947" s="1" t="s">
        <v>9227</v>
      </c>
      <c r="M3947" t="s">
        <v>804</v>
      </c>
      <c r="N3947">
        <v>6</v>
      </c>
    </row>
    <row r="3948" spans="1:14" x14ac:dyDescent="0.25">
      <c r="A3948" s="3" t="str">
        <f>HYPERLINK("http://www.ncbi.nlm.nih.gov/gene/55576","55576")</f>
        <v>55576</v>
      </c>
      <c r="B3948" s="1" t="s">
        <v>9229</v>
      </c>
      <c r="C3948" t="s">
        <v>9230</v>
      </c>
      <c r="D3948">
        <v>135.69999999999999</v>
      </c>
      <c r="E3948">
        <v>139.9</v>
      </c>
      <c r="F3948">
        <v>100</v>
      </c>
      <c r="G3948">
        <v>99.9</v>
      </c>
      <c r="H3948">
        <v>134.9</v>
      </c>
      <c r="I3948">
        <v>138.6</v>
      </c>
      <c r="J3948">
        <v>100</v>
      </c>
      <c r="K3948">
        <v>100</v>
      </c>
      <c r="L3948" s="1" t="s">
        <v>9229</v>
      </c>
      <c r="M3948" t="s">
        <v>16</v>
      </c>
      <c r="N3948">
        <v>2</v>
      </c>
    </row>
    <row r="3949" spans="1:14" x14ac:dyDescent="0.25">
      <c r="A3949" s="3" t="str">
        <f>HYPERLINK("http://www.ncbi.nlm.nih.gov/gene/246329","246329")</f>
        <v>246329</v>
      </c>
      <c r="B3949" s="1" t="s">
        <v>9231</v>
      </c>
      <c r="C3949" t="s">
        <v>9232</v>
      </c>
      <c r="D3949">
        <v>130.5</v>
      </c>
      <c r="E3949">
        <v>132.6</v>
      </c>
      <c r="F3949">
        <v>100</v>
      </c>
      <c r="G3949">
        <v>100</v>
      </c>
      <c r="H3949">
        <v>132.69999999999999</v>
      </c>
      <c r="I3949">
        <v>136.1</v>
      </c>
      <c r="J3949">
        <v>100</v>
      </c>
      <c r="K3949">
        <v>100</v>
      </c>
      <c r="L3949" s="1" t="s">
        <v>9231</v>
      </c>
      <c r="M3949" t="s">
        <v>9233</v>
      </c>
      <c r="N3949">
        <v>5</v>
      </c>
    </row>
    <row r="3950" spans="1:14" x14ac:dyDescent="0.25">
      <c r="A3950" s="3" t="str">
        <f>HYPERLINK("http://www.ncbi.nlm.nih.gov/gene/10274","10274")</f>
        <v>10274</v>
      </c>
      <c r="B3950" s="1" t="s">
        <v>9234</v>
      </c>
      <c r="C3950" t="s">
        <v>9235</v>
      </c>
      <c r="D3950">
        <v>133.1</v>
      </c>
      <c r="E3950">
        <v>137</v>
      </c>
      <c r="F3950">
        <v>99.6</v>
      </c>
      <c r="G3950">
        <v>97.3</v>
      </c>
      <c r="H3950">
        <v>125.9</v>
      </c>
      <c r="I3950">
        <v>129.30000000000001</v>
      </c>
      <c r="J3950">
        <v>100</v>
      </c>
      <c r="K3950">
        <v>100</v>
      </c>
      <c r="L3950" s="1" t="s">
        <v>9234</v>
      </c>
      <c r="M3950" t="s">
        <v>189</v>
      </c>
      <c r="N3950">
        <v>2</v>
      </c>
    </row>
    <row r="3951" spans="1:14" x14ac:dyDescent="0.25">
      <c r="A3951" s="3" t="str">
        <f>HYPERLINK("http://www.ncbi.nlm.nih.gov/gene/10735","10735")</f>
        <v>10735</v>
      </c>
      <c r="B3951" s="1" t="s">
        <v>9236</v>
      </c>
      <c r="C3951" t="s">
        <v>9237</v>
      </c>
      <c r="D3951">
        <v>83.7</v>
      </c>
      <c r="E3951">
        <v>86.1</v>
      </c>
      <c r="F3951">
        <v>97.6</v>
      </c>
      <c r="G3951">
        <v>89.4</v>
      </c>
      <c r="H3951">
        <v>105.5</v>
      </c>
      <c r="I3951">
        <v>108.4</v>
      </c>
      <c r="J3951">
        <v>99.9</v>
      </c>
      <c r="K3951">
        <v>98.7</v>
      </c>
      <c r="L3951" s="1" t="s">
        <v>9236</v>
      </c>
      <c r="M3951" t="s">
        <v>728</v>
      </c>
      <c r="N3951">
        <v>2</v>
      </c>
    </row>
    <row r="3952" spans="1:14" x14ac:dyDescent="0.25">
      <c r="A3952" s="3" t="str">
        <f>HYPERLINK("http://www.ncbi.nlm.nih.gov/gene/10734","10734")</f>
        <v>10734</v>
      </c>
      <c r="B3952" s="1" t="s">
        <v>9238</v>
      </c>
      <c r="D3952">
        <v>119.4</v>
      </c>
      <c r="E3952">
        <v>121.4</v>
      </c>
      <c r="F3952">
        <v>93.5</v>
      </c>
      <c r="G3952">
        <v>93.2</v>
      </c>
      <c r="H3952">
        <v>130.5</v>
      </c>
      <c r="I3952">
        <v>133.30000000000001</v>
      </c>
      <c r="J3952">
        <v>100</v>
      </c>
      <c r="K3952">
        <v>100</v>
      </c>
      <c r="L3952" s="1" t="s">
        <v>9238</v>
      </c>
      <c r="M3952" t="s">
        <v>409</v>
      </c>
      <c r="N3952">
        <v>2</v>
      </c>
    </row>
    <row r="3953" spans="1:14" x14ac:dyDescent="0.25">
      <c r="A3953" s="3" t="str">
        <f>HYPERLINK("http://www.ncbi.nlm.nih.gov/gene/10617","10617")</f>
        <v>10617</v>
      </c>
      <c r="B3953" s="1" t="s">
        <v>9239</v>
      </c>
      <c r="C3953" t="s">
        <v>9240</v>
      </c>
      <c r="D3953">
        <v>115.2</v>
      </c>
      <c r="E3953">
        <v>118.1</v>
      </c>
      <c r="F3953">
        <v>100</v>
      </c>
      <c r="G3953">
        <v>99.4</v>
      </c>
      <c r="H3953">
        <v>133.9</v>
      </c>
      <c r="I3953">
        <v>137.69999999999999</v>
      </c>
      <c r="J3953">
        <v>100</v>
      </c>
      <c r="K3953">
        <v>100</v>
      </c>
      <c r="L3953" s="1" t="s">
        <v>9239</v>
      </c>
      <c r="M3953" t="s">
        <v>9241</v>
      </c>
      <c r="N3953">
        <v>5</v>
      </c>
    </row>
    <row r="3954" spans="1:14" x14ac:dyDescent="0.25">
      <c r="A3954" s="3" t="str">
        <f>HYPERLINK("http://www.ncbi.nlm.nih.gov/gene/6770","6770")</f>
        <v>6770</v>
      </c>
      <c r="B3954" s="1" t="s">
        <v>9242</v>
      </c>
      <c r="C3954" t="s">
        <v>9243</v>
      </c>
      <c r="D3954">
        <v>149.1</v>
      </c>
      <c r="E3954">
        <v>148.9</v>
      </c>
      <c r="F3954">
        <v>100</v>
      </c>
      <c r="G3954">
        <v>100</v>
      </c>
      <c r="H3954">
        <v>122.3</v>
      </c>
      <c r="I3954">
        <v>125.8</v>
      </c>
      <c r="J3954">
        <v>100</v>
      </c>
      <c r="K3954">
        <v>100</v>
      </c>
      <c r="L3954" s="1" t="s">
        <v>9242</v>
      </c>
      <c r="M3954" t="s">
        <v>2502</v>
      </c>
      <c r="N3954">
        <v>4</v>
      </c>
    </row>
    <row r="3955" spans="1:14" x14ac:dyDescent="0.25">
      <c r="A3955" s="3" t="str">
        <f>HYPERLINK("http://www.ncbi.nlm.nih.gov/gene/90627","90627")</f>
        <v>90627</v>
      </c>
      <c r="B3955" s="1" t="s">
        <v>9244</v>
      </c>
      <c r="C3955" t="s">
        <v>9245</v>
      </c>
      <c r="D3955">
        <v>154</v>
      </c>
      <c r="E3955">
        <v>148.4</v>
      </c>
      <c r="F3955">
        <v>99.4</v>
      </c>
      <c r="G3955">
        <v>98.1</v>
      </c>
      <c r="H3955">
        <v>144.80000000000001</v>
      </c>
      <c r="I3955">
        <v>149.69999999999999</v>
      </c>
      <c r="J3955">
        <v>100</v>
      </c>
      <c r="K3955">
        <v>100</v>
      </c>
      <c r="L3955" s="1" t="s">
        <v>9244</v>
      </c>
      <c r="M3955" t="s">
        <v>661</v>
      </c>
      <c r="N3955">
        <v>2</v>
      </c>
    </row>
    <row r="3956" spans="1:14" x14ac:dyDescent="0.25">
      <c r="A3956" s="3" t="str">
        <f>HYPERLINK("http://www.ncbi.nlm.nih.gov/gene/56910","56910")</f>
        <v>56910</v>
      </c>
      <c r="B3956" s="1" t="s">
        <v>9246</v>
      </c>
      <c r="C3956" t="s">
        <v>9247</v>
      </c>
      <c r="D3956">
        <v>110.8</v>
      </c>
      <c r="E3956">
        <v>114.2</v>
      </c>
      <c r="F3956">
        <v>98.2</v>
      </c>
      <c r="G3956">
        <v>93.1</v>
      </c>
      <c r="H3956">
        <v>119.1</v>
      </c>
      <c r="I3956">
        <v>122.4</v>
      </c>
      <c r="J3956">
        <v>100</v>
      </c>
      <c r="K3956">
        <v>100</v>
      </c>
      <c r="L3956" s="1" t="s">
        <v>9246</v>
      </c>
      <c r="M3956" t="s">
        <v>285</v>
      </c>
      <c r="N3956">
        <v>1</v>
      </c>
    </row>
    <row r="3957" spans="1:14" x14ac:dyDescent="0.25">
      <c r="A3957" s="3" t="str">
        <f>HYPERLINK("http://www.ncbi.nlm.nih.gov/gene/6772","6772")</f>
        <v>6772</v>
      </c>
      <c r="B3957" s="1" t="s">
        <v>9248</v>
      </c>
      <c r="C3957" t="s">
        <v>9249</v>
      </c>
      <c r="D3957">
        <v>131.9</v>
      </c>
      <c r="E3957">
        <v>134.80000000000001</v>
      </c>
      <c r="F3957">
        <v>93.7</v>
      </c>
      <c r="G3957">
        <v>91.7</v>
      </c>
      <c r="H3957">
        <v>122.8</v>
      </c>
      <c r="I3957">
        <v>126.5</v>
      </c>
      <c r="J3957">
        <v>95.7</v>
      </c>
      <c r="K3957">
        <v>94.8</v>
      </c>
      <c r="L3957" s="1" t="s">
        <v>9248</v>
      </c>
      <c r="M3957" t="s">
        <v>379</v>
      </c>
      <c r="N3957">
        <v>3</v>
      </c>
    </row>
    <row r="3958" spans="1:14" x14ac:dyDescent="0.25">
      <c r="A3958" s="3" t="str">
        <f>HYPERLINK("http://www.ncbi.nlm.nih.gov/gene/6773","6773")</f>
        <v>6773</v>
      </c>
      <c r="B3958" s="1" t="s">
        <v>9250</v>
      </c>
      <c r="C3958" t="s">
        <v>9251</v>
      </c>
      <c r="D3958">
        <v>113.9</v>
      </c>
      <c r="E3958">
        <v>115.3</v>
      </c>
      <c r="F3958">
        <v>100</v>
      </c>
      <c r="G3958">
        <v>99.9</v>
      </c>
      <c r="H3958">
        <v>144.30000000000001</v>
      </c>
      <c r="I3958">
        <v>147.80000000000001</v>
      </c>
      <c r="J3958">
        <v>100</v>
      </c>
      <c r="K3958">
        <v>100</v>
      </c>
      <c r="L3958" s="1" t="s">
        <v>9250</v>
      </c>
      <c r="M3958" t="s">
        <v>9252</v>
      </c>
      <c r="N3958">
        <v>4</v>
      </c>
    </row>
    <row r="3959" spans="1:14" x14ac:dyDescent="0.25">
      <c r="A3959" s="3" t="str">
        <f>HYPERLINK("http://www.ncbi.nlm.nih.gov/gene/6774","6774")</f>
        <v>6774</v>
      </c>
      <c r="B3959" s="1" t="s">
        <v>9253</v>
      </c>
      <c r="C3959" t="s">
        <v>9254</v>
      </c>
      <c r="D3959">
        <v>125</v>
      </c>
      <c r="E3959">
        <v>129</v>
      </c>
      <c r="F3959">
        <v>100</v>
      </c>
      <c r="G3959">
        <v>99.8</v>
      </c>
      <c r="H3959">
        <v>130.30000000000001</v>
      </c>
      <c r="I3959">
        <v>133.5</v>
      </c>
      <c r="J3959">
        <v>100</v>
      </c>
      <c r="K3959">
        <v>100</v>
      </c>
      <c r="L3959" s="1" t="s">
        <v>9253</v>
      </c>
      <c r="M3959" t="s">
        <v>9255</v>
      </c>
      <c r="N3959">
        <v>4</v>
      </c>
    </row>
    <row r="3960" spans="1:14" x14ac:dyDescent="0.25">
      <c r="A3960" s="3" t="str">
        <f>HYPERLINK("http://www.ncbi.nlm.nih.gov/gene/6775","6775")</f>
        <v>6775</v>
      </c>
      <c r="B3960" s="1" t="s">
        <v>9256</v>
      </c>
      <c r="C3960" t="s">
        <v>9257</v>
      </c>
      <c r="D3960">
        <v>170</v>
      </c>
      <c r="E3960">
        <v>174.6</v>
      </c>
      <c r="F3960">
        <v>99.9</v>
      </c>
      <c r="G3960">
        <v>99.6</v>
      </c>
      <c r="H3960">
        <v>133</v>
      </c>
      <c r="I3960">
        <v>136.30000000000001</v>
      </c>
      <c r="J3960">
        <v>100</v>
      </c>
      <c r="K3960">
        <v>100</v>
      </c>
      <c r="L3960" s="1" t="s">
        <v>9256</v>
      </c>
      <c r="M3960" t="s">
        <v>562</v>
      </c>
      <c r="N3960">
        <v>2</v>
      </c>
    </row>
    <row r="3961" spans="1:14" x14ac:dyDescent="0.25">
      <c r="A3961" s="3" t="str">
        <f>HYPERLINK("http://www.ncbi.nlm.nih.gov/gene/6777","6777")</f>
        <v>6777</v>
      </c>
      <c r="B3961" s="1" t="s">
        <v>9258</v>
      </c>
      <c r="C3961" t="s">
        <v>9259</v>
      </c>
      <c r="D3961">
        <v>134.5</v>
      </c>
      <c r="E3961">
        <v>136.19999999999999</v>
      </c>
      <c r="F3961">
        <v>100</v>
      </c>
      <c r="G3961">
        <v>98.5</v>
      </c>
      <c r="H3961">
        <v>148.69999999999999</v>
      </c>
      <c r="I3961">
        <v>152.6</v>
      </c>
      <c r="J3961">
        <v>100</v>
      </c>
      <c r="K3961">
        <v>100</v>
      </c>
      <c r="L3961" s="1" t="s">
        <v>9258</v>
      </c>
      <c r="M3961" t="s">
        <v>9260</v>
      </c>
      <c r="N3961">
        <v>5</v>
      </c>
    </row>
    <row r="3962" spans="1:14" x14ac:dyDescent="0.25">
      <c r="A3962" s="3" t="str">
        <f>HYPERLINK("http://www.ncbi.nlm.nih.gov/gene/6778","6778")</f>
        <v>6778</v>
      </c>
      <c r="B3962" s="1" t="s">
        <v>9261</v>
      </c>
      <c r="C3962" t="s">
        <v>9262</v>
      </c>
      <c r="D3962">
        <v>123.3</v>
      </c>
      <c r="E3962">
        <v>128</v>
      </c>
      <c r="F3962">
        <v>100</v>
      </c>
      <c r="G3962">
        <v>99.9</v>
      </c>
      <c r="H3962">
        <v>123.5</v>
      </c>
      <c r="I3962">
        <v>126.5</v>
      </c>
      <c r="J3962">
        <v>100</v>
      </c>
      <c r="K3962">
        <v>100</v>
      </c>
      <c r="L3962" s="1" t="s">
        <v>9261</v>
      </c>
      <c r="M3962" t="s">
        <v>562</v>
      </c>
      <c r="N3962">
        <v>2</v>
      </c>
    </row>
    <row r="3963" spans="1:14" x14ac:dyDescent="0.25">
      <c r="A3963" s="3" t="str">
        <f>HYPERLINK("http://www.ncbi.nlm.nih.gov/gene/55240","55240")</f>
        <v>55240</v>
      </c>
      <c r="B3963" s="1" t="s">
        <v>9263</v>
      </c>
      <c r="C3963" t="s">
        <v>9264</v>
      </c>
      <c r="D3963">
        <v>164.9</v>
      </c>
      <c r="E3963">
        <v>162.69999999999999</v>
      </c>
      <c r="F3963">
        <v>100</v>
      </c>
      <c r="G3963">
        <v>99.7</v>
      </c>
      <c r="H3963">
        <v>158.30000000000001</v>
      </c>
      <c r="I3963">
        <v>162.9</v>
      </c>
      <c r="J3963">
        <v>100</v>
      </c>
      <c r="K3963">
        <v>100</v>
      </c>
      <c r="L3963" s="1" t="s">
        <v>9263</v>
      </c>
      <c r="M3963" t="s">
        <v>9265</v>
      </c>
      <c r="N3963">
        <v>2</v>
      </c>
    </row>
    <row r="3964" spans="1:14" x14ac:dyDescent="0.25">
      <c r="A3964" s="3" t="str">
        <f>HYPERLINK("http://www.ncbi.nlm.nih.gov/gene/63932","63932")</f>
        <v>63932</v>
      </c>
      <c r="B3964" s="1" t="s">
        <v>9266</v>
      </c>
      <c r="C3964" t="s">
        <v>9267</v>
      </c>
      <c r="D3964">
        <v>92.8</v>
      </c>
      <c r="E3964">
        <v>92.3</v>
      </c>
      <c r="F3964">
        <v>99.8</v>
      </c>
      <c r="G3964">
        <v>96.7</v>
      </c>
      <c r="H3964">
        <v>108.4</v>
      </c>
      <c r="I3964">
        <v>111</v>
      </c>
      <c r="J3964">
        <v>100</v>
      </c>
      <c r="K3964">
        <v>100</v>
      </c>
      <c r="L3964" s="1" t="s">
        <v>9268</v>
      </c>
      <c r="M3964" t="s">
        <v>728</v>
      </c>
      <c r="N3964">
        <v>2</v>
      </c>
    </row>
    <row r="3965" spans="1:14" x14ac:dyDescent="0.25">
      <c r="A3965" s="3" t="str">
        <f>HYPERLINK("http://www.ncbi.nlm.nih.gov/gene/6491","6491")</f>
        <v>6491</v>
      </c>
      <c r="B3965" s="1" t="s">
        <v>9269</v>
      </c>
      <c r="C3965" t="s">
        <v>9270</v>
      </c>
      <c r="D3965">
        <v>187.9</v>
      </c>
      <c r="E3965">
        <v>192.4</v>
      </c>
      <c r="F3965">
        <v>100</v>
      </c>
      <c r="G3965">
        <v>99.8</v>
      </c>
      <c r="H3965">
        <v>136.80000000000001</v>
      </c>
      <c r="I3965">
        <v>140.69999999999999</v>
      </c>
      <c r="J3965">
        <v>100</v>
      </c>
      <c r="K3965">
        <v>100</v>
      </c>
      <c r="L3965" s="1" t="s">
        <v>9269</v>
      </c>
      <c r="M3965" t="s">
        <v>228</v>
      </c>
      <c r="N3965">
        <v>3</v>
      </c>
    </row>
    <row r="3966" spans="1:14" x14ac:dyDescent="0.25">
      <c r="A3966" s="3" t="str">
        <f>HYPERLINK("http://www.ncbi.nlm.nih.gov/gene/6786","6786")</f>
        <v>6786</v>
      </c>
      <c r="B3966" s="1" t="s">
        <v>9271</v>
      </c>
      <c r="C3966" t="s">
        <v>9272</v>
      </c>
      <c r="D3966">
        <v>122</v>
      </c>
      <c r="E3966">
        <v>126.2</v>
      </c>
      <c r="F3966">
        <v>99.8</v>
      </c>
      <c r="G3966">
        <v>98</v>
      </c>
      <c r="H3966">
        <v>141.4</v>
      </c>
      <c r="I3966">
        <v>145.1</v>
      </c>
      <c r="J3966">
        <v>100</v>
      </c>
      <c r="K3966">
        <v>100</v>
      </c>
      <c r="L3966" s="1" t="s">
        <v>9271</v>
      </c>
      <c r="M3966" t="s">
        <v>9273</v>
      </c>
      <c r="N3966">
        <v>7</v>
      </c>
    </row>
    <row r="3967" spans="1:14" x14ac:dyDescent="0.25">
      <c r="A3967" s="3" t="str">
        <f>HYPERLINK("http://www.ncbi.nlm.nih.gov/gene/340061","340061")</f>
        <v>340061</v>
      </c>
      <c r="B3967" s="1" t="s">
        <v>9274</v>
      </c>
      <c r="C3967" t="s">
        <v>9275</v>
      </c>
      <c r="D3967">
        <v>109.1</v>
      </c>
      <c r="E3967">
        <v>115.6</v>
      </c>
      <c r="F3967">
        <v>99.7</v>
      </c>
      <c r="G3967">
        <v>95.3</v>
      </c>
      <c r="H3967">
        <v>132.1</v>
      </c>
      <c r="I3967">
        <v>135.9</v>
      </c>
      <c r="J3967">
        <v>100</v>
      </c>
      <c r="K3967">
        <v>100</v>
      </c>
      <c r="L3967" s="1" t="s">
        <v>9274</v>
      </c>
      <c r="M3967" t="s">
        <v>627</v>
      </c>
      <c r="N3967">
        <v>3</v>
      </c>
    </row>
    <row r="3968" spans="1:14" x14ac:dyDescent="0.25">
      <c r="A3968" s="3" t="str">
        <f>HYPERLINK("http://www.ncbi.nlm.nih.gov/gene/6794","6794")</f>
        <v>6794</v>
      </c>
      <c r="B3968" s="1" t="s">
        <v>9276</v>
      </c>
      <c r="C3968" t="s">
        <v>9277</v>
      </c>
      <c r="D3968">
        <v>112.8</v>
      </c>
      <c r="E3968">
        <v>119</v>
      </c>
      <c r="F3968">
        <v>92.4</v>
      </c>
      <c r="G3968">
        <v>91.7</v>
      </c>
      <c r="H3968">
        <v>140.5</v>
      </c>
      <c r="I3968">
        <v>145.30000000000001</v>
      </c>
      <c r="J3968">
        <v>100</v>
      </c>
      <c r="K3968">
        <v>100</v>
      </c>
      <c r="L3968" s="1" t="s">
        <v>9276</v>
      </c>
      <c r="M3968" t="s">
        <v>9278</v>
      </c>
      <c r="N3968">
        <v>4</v>
      </c>
    </row>
    <row r="3969" spans="1:14" x14ac:dyDescent="0.25">
      <c r="A3969" s="3" t="str">
        <f>HYPERLINK("http://www.ncbi.nlm.nih.gov/gene/27148","27148")</f>
        <v>27148</v>
      </c>
      <c r="B3969" s="1" t="s">
        <v>9279</v>
      </c>
      <c r="C3969" t="s">
        <v>9280</v>
      </c>
      <c r="D3969">
        <v>131.1</v>
      </c>
      <c r="E3969">
        <v>133.80000000000001</v>
      </c>
      <c r="F3969">
        <v>100</v>
      </c>
      <c r="G3969">
        <v>99.1</v>
      </c>
      <c r="H3969">
        <v>135.19999999999999</v>
      </c>
      <c r="I3969">
        <v>138.1</v>
      </c>
      <c r="J3969">
        <v>100</v>
      </c>
      <c r="K3969">
        <v>100</v>
      </c>
      <c r="L3969" s="1" t="s">
        <v>9279</v>
      </c>
      <c r="M3969" t="s">
        <v>1495</v>
      </c>
      <c r="N3969">
        <v>2</v>
      </c>
    </row>
    <row r="3970" spans="1:14" x14ac:dyDescent="0.25">
      <c r="A3970" s="3" t="str">
        <f>HYPERLINK("http://www.ncbi.nlm.nih.gov/gene/6789","6789")</f>
        <v>6789</v>
      </c>
      <c r="B3970" s="1" t="s">
        <v>9281</v>
      </c>
      <c r="C3970" t="s">
        <v>9282</v>
      </c>
      <c r="D3970">
        <v>134.1</v>
      </c>
      <c r="E3970">
        <v>138.1</v>
      </c>
      <c r="F3970">
        <v>100</v>
      </c>
      <c r="G3970">
        <v>99.8</v>
      </c>
      <c r="H3970">
        <v>127.4</v>
      </c>
      <c r="I3970">
        <v>131.5</v>
      </c>
      <c r="J3970">
        <v>100</v>
      </c>
      <c r="K3970">
        <v>100</v>
      </c>
      <c r="L3970" s="1" t="s">
        <v>9281</v>
      </c>
      <c r="M3970" t="s">
        <v>6475</v>
      </c>
      <c r="N3970">
        <v>4</v>
      </c>
    </row>
    <row r="3971" spans="1:14" x14ac:dyDescent="0.25">
      <c r="A3971" s="3" t="str">
        <f>HYPERLINK("http://www.ncbi.nlm.nih.gov/gene/79991","79991")</f>
        <v>79991</v>
      </c>
      <c r="B3971" s="1" t="s">
        <v>9283</v>
      </c>
      <c r="C3971" t="s">
        <v>9284</v>
      </c>
      <c r="D3971">
        <v>98.6</v>
      </c>
      <c r="E3971">
        <v>102.9</v>
      </c>
      <c r="F3971">
        <v>100</v>
      </c>
      <c r="G3971">
        <v>100</v>
      </c>
      <c r="H3971">
        <v>121.8</v>
      </c>
      <c r="I3971">
        <v>124.9</v>
      </c>
      <c r="J3971">
        <v>100</v>
      </c>
      <c r="K3971">
        <v>100</v>
      </c>
      <c r="L3971" s="1" t="s">
        <v>9283</v>
      </c>
      <c r="M3971" t="s">
        <v>9285</v>
      </c>
      <c r="N3971">
        <v>4</v>
      </c>
    </row>
    <row r="3972" spans="1:14" x14ac:dyDescent="0.25">
      <c r="A3972" s="3" t="str">
        <f>HYPERLINK("http://www.ncbi.nlm.nih.gov/gene/219736","219736")</f>
        <v>219736</v>
      </c>
      <c r="B3972" s="1" t="s">
        <v>9286</v>
      </c>
      <c r="C3972" t="s">
        <v>9287</v>
      </c>
      <c r="D3972">
        <v>160.5</v>
      </c>
      <c r="E3972">
        <v>145.69999999999999</v>
      </c>
      <c r="F3972">
        <v>80.5</v>
      </c>
      <c r="G3972">
        <v>80.5</v>
      </c>
      <c r="H3972">
        <v>119</v>
      </c>
      <c r="I3972">
        <v>123.7</v>
      </c>
      <c r="J3972">
        <v>94.8</v>
      </c>
      <c r="K3972">
        <v>90</v>
      </c>
      <c r="L3972" s="1" t="s">
        <v>9286</v>
      </c>
      <c r="M3972" t="s">
        <v>22</v>
      </c>
      <c r="N3972">
        <v>1</v>
      </c>
    </row>
    <row r="3973" spans="1:14" x14ac:dyDescent="0.25">
      <c r="A3973" s="3" t="str">
        <f>HYPERLINK("http://www.ncbi.nlm.nih.gov/gene/64220","64220")</f>
        <v>64220</v>
      </c>
      <c r="B3973" s="1" t="s">
        <v>9288</v>
      </c>
      <c r="C3973" t="s">
        <v>9289</v>
      </c>
      <c r="D3973">
        <v>127.2</v>
      </c>
      <c r="E3973">
        <v>130.5</v>
      </c>
      <c r="F3973">
        <v>100</v>
      </c>
      <c r="G3973">
        <v>99.8</v>
      </c>
      <c r="H3973">
        <v>131.69999999999999</v>
      </c>
      <c r="I3973">
        <v>135.19999999999999</v>
      </c>
      <c r="J3973">
        <v>100</v>
      </c>
      <c r="K3973">
        <v>100</v>
      </c>
      <c r="L3973" s="1" t="s">
        <v>9288</v>
      </c>
      <c r="M3973" t="s">
        <v>9290</v>
      </c>
      <c r="N3973">
        <v>5</v>
      </c>
    </row>
    <row r="3974" spans="1:14" x14ac:dyDescent="0.25">
      <c r="A3974" s="3" t="str">
        <f>HYPERLINK("http://www.ncbi.nlm.nih.gov/gene/92335","92335")</f>
        <v>92335</v>
      </c>
      <c r="B3974" s="1" t="s">
        <v>9291</v>
      </c>
      <c r="C3974" t="s">
        <v>9292</v>
      </c>
      <c r="D3974">
        <v>130.4</v>
      </c>
      <c r="E3974">
        <v>132.69999999999999</v>
      </c>
      <c r="F3974">
        <v>100</v>
      </c>
      <c r="G3974">
        <v>98.9</v>
      </c>
      <c r="H3974">
        <v>120.2</v>
      </c>
      <c r="I3974">
        <v>122.8</v>
      </c>
      <c r="J3974">
        <v>100</v>
      </c>
      <c r="K3974">
        <v>100</v>
      </c>
      <c r="L3974" s="1" t="s">
        <v>9291</v>
      </c>
      <c r="M3974" t="s">
        <v>228</v>
      </c>
      <c r="N3974">
        <v>3</v>
      </c>
    </row>
    <row r="3975" spans="1:14" x14ac:dyDescent="0.25">
      <c r="A3975" s="3" t="str">
        <f>HYPERLINK("http://www.ncbi.nlm.nih.gov/gene/161497","161497")</f>
        <v>161497</v>
      </c>
      <c r="B3975" s="1" t="s">
        <v>9293</v>
      </c>
      <c r="C3975" t="s">
        <v>9294</v>
      </c>
      <c r="D3975">
        <v>106.4</v>
      </c>
      <c r="E3975">
        <v>107.4</v>
      </c>
      <c r="F3975">
        <v>99.9</v>
      </c>
      <c r="G3975">
        <v>98</v>
      </c>
      <c r="H3975">
        <v>148.80000000000001</v>
      </c>
      <c r="I3975">
        <v>149.5</v>
      </c>
      <c r="J3975">
        <v>100</v>
      </c>
      <c r="K3975">
        <v>100</v>
      </c>
      <c r="L3975" s="1" t="s">
        <v>9293</v>
      </c>
      <c r="M3975" t="s">
        <v>269</v>
      </c>
      <c r="N3975">
        <v>3</v>
      </c>
    </row>
    <row r="3976" spans="1:14" x14ac:dyDescent="0.25">
      <c r="A3976" s="3" t="str">
        <f>HYPERLINK("http://www.ncbi.nlm.nih.gov/gene/412","412")</f>
        <v>412</v>
      </c>
      <c r="B3976" s="1" t="s">
        <v>9295</v>
      </c>
      <c r="C3976" t="s">
        <v>9296</v>
      </c>
      <c r="D3976">
        <v>95</v>
      </c>
      <c r="E3976">
        <v>98.3</v>
      </c>
      <c r="F3976">
        <v>97.1</v>
      </c>
      <c r="G3976">
        <v>95.5</v>
      </c>
      <c r="H3976">
        <v>136.30000000000001</v>
      </c>
      <c r="I3976">
        <v>140.30000000000001</v>
      </c>
      <c r="J3976">
        <v>97.4</v>
      </c>
      <c r="K3976">
        <v>97.3</v>
      </c>
      <c r="L3976" s="1" t="s">
        <v>9295</v>
      </c>
      <c r="M3976" t="s">
        <v>9297</v>
      </c>
      <c r="N3976">
        <v>3</v>
      </c>
    </row>
    <row r="3977" spans="1:14" x14ac:dyDescent="0.25">
      <c r="A3977" s="3" t="str">
        <f>HYPERLINK("http://www.ncbi.nlm.nih.gov/gene/3703","3703")</f>
        <v>3703</v>
      </c>
      <c r="B3977" s="1" t="s">
        <v>9298</v>
      </c>
      <c r="C3977" t="s">
        <v>9299</v>
      </c>
      <c r="D3977">
        <v>157.69999999999999</v>
      </c>
      <c r="E3977">
        <v>160.4</v>
      </c>
      <c r="F3977">
        <v>100</v>
      </c>
      <c r="G3977">
        <v>100</v>
      </c>
      <c r="H3977">
        <v>139.4</v>
      </c>
      <c r="I3977">
        <v>143.4</v>
      </c>
      <c r="J3977">
        <v>100</v>
      </c>
      <c r="K3977">
        <v>100</v>
      </c>
      <c r="L3977" s="1" t="s">
        <v>9298</v>
      </c>
      <c r="M3977" t="s">
        <v>38</v>
      </c>
      <c r="N3977">
        <v>4</v>
      </c>
    </row>
    <row r="3978" spans="1:14" x14ac:dyDescent="0.25">
      <c r="A3978" s="3" t="str">
        <f>HYPERLINK("http://www.ncbi.nlm.nih.gov/gene/201595","201595")</f>
        <v>201595</v>
      </c>
      <c r="B3978" s="1" t="s">
        <v>9300</v>
      </c>
      <c r="C3978" t="s">
        <v>9301</v>
      </c>
      <c r="D3978">
        <v>148.19999999999999</v>
      </c>
      <c r="E3978">
        <v>150.6</v>
      </c>
      <c r="F3978">
        <v>100</v>
      </c>
      <c r="G3978">
        <v>99.6</v>
      </c>
      <c r="H3978">
        <v>127.4</v>
      </c>
      <c r="I3978">
        <v>130.4</v>
      </c>
      <c r="J3978">
        <v>100</v>
      </c>
      <c r="K3978">
        <v>100</v>
      </c>
      <c r="L3978" s="1" t="s">
        <v>9300</v>
      </c>
      <c r="M3978" t="s">
        <v>38</v>
      </c>
      <c r="N3978">
        <v>4</v>
      </c>
    </row>
    <row r="3979" spans="1:14" x14ac:dyDescent="0.25">
      <c r="A3979" s="3" t="str">
        <f>HYPERLINK("http://www.ncbi.nlm.nih.gov/gene/10273","10273")</f>
        <v>10273</v>
      </c>
      <c r="B3979" s="1" t="s">
        <v>9302</v>
      </c>
      <c r="C3979" t="s">
        <v>9303</v>
      </c>
      <c r="D3979">
        <v>151.69999999999999</v>
      </c>
      <c r="E3979">
        <v>152.69999999999999</v>
      </c>
      <c r="F3979">
        <v>100</v>
      </c>
      <c r="G3979">
        <v>98.7</v>
      </c>
      <c r="H3979">
        <v>119.2</v>
      </c>
      <c r="I3979">
        <v>122</v>
      </c>
      <c r="J3979">
        <v>100</v>
      </c>
      <c r="K3979">
        <v>100</v>
      </c>
      <c r="L3979" s="1" t="s">
        <v>9302</v>
      </c>
      <c r="M3979" t="s">
        <v>9304</v>
      </c>
      <c r="N3979">
        <v>3</v>
      </c>
    </row>
    <row r="3980" spans="1:14" x14ac:dyDescent="0.25">
      <c r="A3980" s="3" t="str">
        <f>HYPERLINK("http://www.ncbi.nlm.nih.gov/gene/8676","8676")</f>
        <v>8676</v>
      </c>
      <c r="B3980" s="1" t="s">
        <v>9305</v>
      </c>
      <c r="C3980" t="s">
        <v>9306</v>
      </c>
      <c r="D3980">
        <v>290.39999999999998</v>
      </c>
      <c r="E3980">
        <v>275</v>
      </c>
      <c r="F3980">
        <v>100</v>
      </c>
      <c r="G3980">
        <v>100</v>
      </c>
      <c r="H3980">
        <v>161.4</v>
      </c>
      <c r="I3980">
        <v>161.4</v>
      </c>
      <c r="J3980">
        <v>100</v>
      </c>
      <c r="K3980">
        <v>100</v>
      </c>
      <c r="L3980" s="1" t="s">
        <v>9305</v>
      </c>
      <c r="M3980" t="s">
        <v>1097</v>
      </c>
      <c r="N3980">
        <v>3</v>
      </c>
    </row>
    <row r="3981" spans="1:14" x14ac:dyDescent="0.25">
      <c r="A3981" s="3" t="str">
        <f>HYPERLINK("http://www.ncbi.nlm.nih.gov/gene/8675","8675")</f>
        <v>8675</v>
      </c>
      <c r="B3981" s="1" t="s">
        <v>9307</v>
      </c>
      <c r="C3981" t="s">
        <v>9308</v>
      </c>
      <c r="D3981">
        <v>123.5</v>
      </c>
      <c r="E3981">
        <v>126.7</v>
      </c>
      <c r="F3981">
        <v>100</v>
      </c>
      <c r="G3981">
        <v>98.6</v>
      </c>
      <c r="H3981">
        <v>124.5</v>
      </c>
      <c r="I3981">
        <v>127.4</v>
      </c>
      <c r="J3981">
        <v>100</v>
      </c>
      <c r="K3981">
        <v>100</v>
      </c>
      <c r="L3981" s="1" t="s">
        <v>9307</v>
      </c>
      <c r="M3981" t="s">
        <v>200</v>
      </c>
      <c r="N3981">
        <v>2</v>
      </c>
    </row>
    <row r="3982" spans="1:14" x14ac:dyDescent="0.25">
      <c r="A3982" s="3" t="str">
        <f>HYPERLINK("http://www.ncbi.nlm.nih.gov/gene/112755","112755")</f>
        <v>112755</v>
      </c>
      <c r="B3982" s="1" t="s">
        <v>9309</v>
      </c>
      <c r="C3982" t="s">
        <v>9310</v>
      </c>
      <c r="D3982">
        <v>158.1</v>
      </c>
      <c r="E3982">
        <v>163.19999999999999</v>
      </c>
      <c r="F3982">
        <v>100</v>
      </c>
      <c r="G3982">
        <v>100</v>
      </c>
      <c r="H3982">
        <v>148</v>
      </c>
      <c r="I3982">
        <v>150.6</v>
      </c>
      <c r="J3982">
        <v>100</v>
      </c>
      <c r="K3982">
        <v>100</v>
      </c>
      <c r="L3982" s="1" t="s">
        <v>9309</v>
      </c>
      <c r="M3982" t="s">
        <v>995</v>
      </c>
      <c r="N3982">
        <v>3</v>
      </c>
    </row>
    <row r="3983" spans="1:14" x14ac:dyDescent="0.25">
      <c r="A3983" s="3" t="str">
        <f>HYPERLINK("http://www.ncbi.nlm.nih.gov/gene/6811","6811")</f>
        <v>6811</v>
      </c>
      <c r="B3983" s="1" t="s">
        <v>9311</v>
      </c>
      <c r="C3983" t="s">
        <v>9312</v>
      </c>
      <c r="D3983">
        <v>82.5</v>
      </c>
      <c r="E3983">
        <v>82.7</v>
      </c>
      <c r="F3983">
        <v>95.8</v>
      </c>
      <c r="G3983">
        <v>92.6</v>
      </c>
      <c r="H3983">
        <v>131.4</v>
      </c>
      <c r="I3983">
        <v>134.30000000000001</v>
      </c>
      <c r="J3983">
        <v>100</v>
      </c>
      <c r="K3983">
        <v>100</v>
      </c>
      <c r="L3983" s="1" t="s">
        <v>9311</v>
      </c>
      <c r="M3983" t="s">
        <v>93</v>
      </c>
      <c r="N3983">
        <v>2</v>
      </c>
    </row>
    <row r="3984" spans="1:14" x14ac:dyDescent="0.25">
      <c r="A3984" s="3" t="str">
        <f>HYPERLINK("http://www.ncbi.nlm.nih.gov/gene/6812","6812")</f>
        <v>6812</v>
      </c>
      <c r="B3984" s="1" t="s">
        <v>9313</v>
      </c>
      <c r="C3984" t="s">
        <v>9314</v>
      </c>
      <c r="D3984">
        <v>116.9</v>
      </c>
      <c r="E3984">
        <v>120.1</v>
      </c>
      <c r="F3984">
        <v>96.8</v>
      </c>
      <c r="G3984">
        <v>96.5</v>
      </c>
      <c r="H3984">
        <v>133.1</v>
      </c>
      <c r="I3984">
        <v>135.6</v>
      </c>
      <c r="J3984">
        <v>100</v>
      </c>
      <c r="K3984">
        <v>100</v>
      </c>
      <c r="L3984" s="1" t="s">
        <v>9313</v>
      </c>
      <c r="M3984" t="s">
        <v>9315</v>
      </c>
      <c r="N3984">
        <v>4</v>
      </c>
    </row>
    <row r="3985" spans="1:14" x14ac:dyDescent="0.25">
      <c r="A3985" s="3" t="str">
        <f>HYPERLINK("http://www.ncbi.nlm.nih.gov/gene/6813","6813")</f>
        <v>6813</v>
      </c>
      <c r="B3985" s="1" t="s">
        <v>9316</v>
      </c>
      <c r="C3985" t="s">
        <v>9317</v>
      </c>
      <c r="D3985">
        <v>107.7</v>
      </c>
      <c r="E3985">
        <v>104.1</v>
      </c>
      <c r="F3985">
        <v>82.1</v>
      </c>
      <c r="G3985">
        <v>79.7</v>
      </c>
      <c r="H3985">
        <v>188.2</v>
      </c>
      <c r="I3985">
        <v>187.9</v>
      </c>
      <c r="J3985">
        <v>99.3</v>
      </c>
      <c r="K3985">
        <v>97.1</v>
      </c>
      <c r="L3985" s="1" t="s">
        <v>9316</v>
      </c>
      <c r="M3985" t="s">
        <v>9318</v>
      </c>
      <c r="N3985">
        <v>4</v>
      </c>
    </row>
    <row r="3986" spans="1:14" x14ac:dyDescent="0.25">
      <c r="A3986" s="3" t="str">
        <f>HYPERLINK("http://www.ncbi.nlm.nih.gov/gene/8803","8803")</f>
        <v>8803</v>
      </c>
      <c r="B3986" s="1" t="s">
        <v>9319</v>
      </c>
      <c r="C3986" t="s">
        <v>9320</v>
      </c>
      <c r="D3986">
        <v>62.7</v>
      </c>
      <c r="E3986">
        <v>62.7</v>
      </c>
      <c r="F3986">
        <v>89.5</v>
      </c>
      <c r="G3986">
        <v>82.2</v>
      </c>
      <c r="H3986">
        <v>140.1</v>
      </c>
      <c r="I3986">
        <v>143.6</v>
      </c>
      <c r="J3986">
        <v>99.9</v>
      </c>
      <c r="K3986">
        <v>99.8</v>
      </c>
      <c r="L3986" s="1" t="s">
        <v>9319</v>
      </c>
      <c r="M3986" t="s">
        <v>9321</v>
      </c>
      <c r="N3986">
        <v>6</v>
      </c>
    </row>
    <row r="3987" spans="1:14" x14ac:dyDescent="0.25">
      <c r="A3987" s="3" t="str">
        <f>HYPERLINK("http://www.ncbi.nlm.nih.gov/gene/8802","8802")</f>
        <v>8802</v>
      </c>
      <c r="B3987" s="1" t="s">
        <v>9322</v>
      </c>
      <c r="C3987" t="s">
        <v>9323</v>
      </c>
      <c r="D3987">
        <v>120.9</v>
      </c>
      <c r="E3987">
        <v>122.6</v>
      </c>
      <c r="F3987">
        <v>99.9</v>
      </c>
      <c r="G3987">
        <v>99.8</v>
      </c>
      <c r="H3987">
        <v>128.69999999999999</v>
      </c>
      <c r="I3987">
        <v>131.80000000000001</v>
      </c>
      <c r="J3987">
        <v>100</v>
      </c>
      <c r="K3987">
        <v>100</v>
      </c>
      <c r="L3987" s="1" t="s">
        <v>9322</v>
      </c>
      <c r="M3987" t="s">
        <v>1330</v>
      </c>
      <c r="N3987">
        <v>5</v>
      </c>
    </row>
    <row r="3988" spans="1:14" x14ac:dyDescent="0.25">
      <c r="A3988" s="3" t="str">
        <f>HYPERLINK("http://www.ncbi.nlm.nih.gov/gene/8801","8801")</f>
        <v>8801</v>
      </c>
      <c r="B3988" s="1" t="s">
        <v>9324</v>
      </c>
      <c r="C3988" t="s">
        <v>9325</v>
      </c>
      <c r="D3988">
        <v>71.900000000000006</v>
      </c>
      <c r="E3988">
        <v>72.5</v>
      </c>
      <c r="F3988">
        <v>96.7</v>
      </c>
      <c r="G3988">
        <v>86.3</v>
      </c>
      <c r="H3988">
        <v>135.80000000000001</v>
      </c>
      <c r="I3988">
        <v>139.5</v>
      </c>
      <c r="J3988">
        <v>100</v>
      </c>
      <c r="K3988">
        <v>100</v>
      </c>
      <c r="L3988" s="1" t="s">
        <v>9324</v>
      </c>
      <c r="M3988" t="s">
        <v>2188</v>
      </c>
      <c r="N3988">
        <v>3</v>
      </c>
    </row>
    <row r="3989" spans="1:14" x14ac:dyDescent="0.25">
      <c r="A3989" s="3" t="str">
        <f>HYPERLINK("http://www.ncbi.nlm.nih.gov/gene/51684","51684")</f>
        <v>51684</v>
      </c>
      <c r="B3989" s="1" t="s">
        <v>9326</v>
      </c>
      <c r="C3989" t="s">
        <v>9327</v>
      </c>
      <c r="D3989">
        <v>144.6</v>
      </c>
      <c r="E3989">
        <v>153.1</v>
      </c>
      <c r="F3989">
        <v>100</v>
      </c>
      <c r="G3989">
        <v>100</v>
      </c>
      <c r="H3989">
        <v>136.30000000000001</v>
      </c>
      <c r="I3989">
        <v>139.5</v>
      </c>
      <c r="J3989">
        <v>100</v>
      </c>
      <c r="K3989">
        <v>100</v>
      </c>
      <c r="L3989" s="1" t="s">
        <v>9326</v>
      </c>
      <c r="M3989" t="s">
        <v>9328</v>
      </c>
      <c r="N3989">
        <v>5</v>
      </c>
    </row>
    <row r="3990" spans="1:14" x14ac:dyDescent="0.25">
      <c r="A3990" s="3" t="str">
        <f>HYPERLINK("http://www.ncbi.nlm.nih.gov/gene/79783","79783")</f>
        <v>79783</v>
      </c>
      <c r="B3990" s="1" t="s">
        <v>9329</v>
      </c>
      <c r="C3990" t="s">
        <v>9330</v>
      </c>
      <c r="D3990">
        <v>155.1</v>
      </c>
      <c r="E3990">
        <v>162</v>
      </c>
      <c r="F3990">
        <v>99.9</v>
      </c>
      <c r="G3990">
        <v>98.5</v>
      </c>
      <c r="H3990">
        <v>128.1</v>
      </c>
      <c r="I3990">
        <v>130.80000000000001</v>
      </c>
      <c r="J3990">
        <v>100</v>
      </c>
      <c r="K3990">
        <v>100</v>
      </c>
      <c r="L3990" s="1" t="s">
        <v>9329</v>
      </c>
      <c r="M3990" t="s">
        <v>93</v>
      </c>
      <c r="N3990">
        <v>2</v>
      </c>
    </row>
    <row r="3991" spans="1:14" x14ac:dyDescent="0.25">
      <c r="A3991" s="3" t="str">
        <f>HYPERLINK("http://www.ncbi.nlm.nih.gov/gene/23213","23213")</f>
        <v>23213</v>
      </c>
      <c r="B3991" s="1" t="s">
        <v>9331</v>
      </c>
      <c r="C3991" t="s">
        <v>9332</v>
      </c>
      <c r="D3991">
        <v>160</v>
      </c>
      <c r="E3991">
        <v>170</v>
      </c>
      <c r="F3991">
        <v>99.9</v>
      </c>
      <c r="G3991">
        <v>99.3</v>
      </c>
      <c r="H3991">
        <v>140.6</v>
      </c>
      <c r="I3991">
        <v>145</v>
      </c>
      <c r="J3991">
        <v>100</v>
      </c>
      <c r="K3991">
        <v>100</v>
      </c>
      <c r="L3991" s="1" t="s">
        <v>9331</v>
      </c>
      <c r="M3991" t="s">
        <v>1253</v>
      </c>
      <c r="N3991">
        <v>2</v>
      </c>
    </row>
    <row r="3992" spans="1:14" x14ac:dyDescent="0.25">
      <c r="A3992" s="3" t="str">
        <f>HYPERLINK("http://www.ncbi.nlm.nih.gov/gene/6820","6820")</f>
        <v>6820</v>
      </c>
      <c r="B3992" s="1" t="s">
        <v>9333</v>
      </c>
      <c r="C3992" t="s">
        <v>9334</v>
      </c>
      <c r="D3992">
        <v>141.6</v>
      </c>
      <c r="E3992">
        <v>142.5</v>
      </c>
      <c r="F3992">
        <v>100</v>
      </c>
      <c r="G3992">
        <v>100</v>
      </c>
      <c r="H3992">
        <v>148.69999999999999</v>
      </c>
      <c r="I3992">
        <v>153.30000000000001</v>
      </c>
      <c r="J3992">
        <v>100</v>
      </c>
      <c r="K3992">
        <v>100</v>
      </c>
      <c r="L3992" s="1" t="s">
        <v>9333</v>
      </c>
      <c r="M3992" t="s">
        <v>246</v>
      </c>
      <c r="N3992">
        <v>3</v>
      </c>
    </row>
    <row r="3993" spans="1:14" x14ac:dyDescent="0.25">
      <c r="A3993" s="3" t="str">
        <f>HYPERLINK("http://www.ncbi.nlm.nih.gov/gene/285362","285362")</f>
        <v>285362</v>
      </c>
      <c r="B3993" s="1" t="s">
        <v>9335</v>
      </c>
      <c r="C3993" t="s">
        <v>9336</v>
      </c>
      <c r="D3993">
        <v>104.6</v>
      </c>
      <c r="E3993">
        <v>104</v>
      </c>
      <c r="F3993">
        <v>97.5</v>
      </c>
      <c r="G3993">
        <v>90.8</v>
      </c>
      <c r="H3993">
        <v>137.1</v>
      </c>
      <c r="I3993">
        <v>140.6</v>
      </c>
      <c r="J3993">
        <v>100</v>
      </c>
      <c r="K3993">
        <v>100</v>
      </c>
      <c r="L3993" s="1" t="s">
        <v>9335</v>
      </c>
      <c r="M3993" t="s">
        <v>7467</v>
      </c>
      <c r="N3993">
        <v>7</v>
      </c>
    </row>
    <row r="3994" spans="1:14" x14ac:dyDescent="0.25">
      <c r="A3994" s="3" t="str">
        <f>HYPERLINK("http://www.ncbi.nlm.nih.gov/gene/7341","7341")</f>
        <v>7341</v>
      </c>
      <c r="B3994" s="1" t="s">
        <v>9337</v>
      </c>
      <c r="C3994" t="s">
        <v>9338</v>
      </c>
      <c r="D3994">
        <v>23.9</v>
      </c>
      <c r="E3994">
        <v>23.7</v>
      </c>
      <c r="F3994">
        <v>67.2</v>
      </c>
      <c r="G3994">
        <v>49.9</v>
      </c>
      <c r="H3994">
        <v>87.5</v>
      </c>
      <c r="I3994">
        <v>88.3</v>
      </c>
      <c r="J3994">
        <v>69.400000000000006</v>
      </c>
      <c r="K3994">
        <v>69.400000000000006</v>
      </c>
      <c r="L3994" s="1" t="s">
        <v>9337</v>
      </c>
      <c r="M3994" t="s">
        <v>9339</v>
      </c>
      <c r="N3994">
        <v>2</v>
      </c>
    </row>
    <row r="3995" spans="1:14" x14ac:dyDescent="0.25">
      <c r="A3995" s="3" t="str">
        <f>HYPERLINK("http://www.ncbi.nlm.nih.gov/gene/140732","140732")</f>
        <v>140732</v>
      </c>
      <c r="B3995" s="1" t="s">
        <v>9340</v>
      </c>
      <c r="C3995" t="s">
        <v>9341</v>
      </c>
      <c r="D3995">
        <v>114.4</v>
      </c>
      <c r="E3995">
        <v>118.8</v>
      </c>
      <c r="F3995">
        <v>100</v>
      </c>
      <c r="G3995">
        <v>99.8</v>
      </c>
      <c r="H3995">
        <v>140.80000000000001</v>
      </c>
      <c r="I3995">
        <v>143.9</v>
      </c>
      <c r="J3995">
        <v>100</v>
      </c>
      <c r="K3995">
        <v>100</v>
      </c>
      <c r="L3995" s="1" t="s">
        <v>9340</v>
      </c>
      <c r="M3995" t="s">
        <v>59</v>
      </c>
      <c r="N3995">
        <v>1</v>
      </c>
    </row>
    <row r="3996" spans="1:14" x14ac:dyDescent="0.25">
      <c r="A3996" s="3" t="str">
        <f>HYPERLINK("http://www.ncbi.nlm.nih.gov/gene/6821","6821")</f>
        <v>6821</v>
      </c>
      <c r="B3996" s="1" t="s">
        <v>9342</v>
      </c>
      <c r="D3996">
        <v>210.1</v>
      </c>
      <c r="E3996">
        <v>189.7</v>
      </c>
      <c r="F3996">
        <v>100</v>
      </c>
      <c r="G3996">
        <v>100</v>
      </c>
      <c r="H3996">
        <v>159.69999999999999</v>
      </c>
      <c r="I3996">
        <v>161.80000000000001</v>
      </c>
      <c r="J3996">
        <v>100</v>
      </c>
      <c r="K3996">
        <v>100</v>
      </c>
      <c r="L3996" s="1" t="s">
        <v>9342</v>
      </c>
      <c r="M3996" t="s">
        <v>449</v>
      </c>
      <c r="N3996">
        <v>6</v>
      </c>
    </row>
    <row r="3997" spans="1:14" x14ac:dyDescent="0.25">
      <c r="A3997" s="3" t="str">
        <f>HYPERLINK("http://www.ncbi.nlm.nih.gov/gene/11198","11198")</f>
        <v>11198</v>
      </c>
      <c r="B3997" s="1" t="s">
        <v>9343</v>
      </c>
      <c r="C3997" t="s">
        <v>9344</v>
      </c>
      <c r="D3997">
        <v>89.1</v>
      </c>
      <c r="E3997">
        <v>90.3</v>
      </c>
      <c r="F3997">
        <v>98.6</v>
      </c>
      <c r="G3997">
        <v>93.6</v>
      </c>
      <c r="H3997">
        <v>145.9</v>
      </c>
      <c r="I3997">
        <v>149.69999999999999</v>
      </c>
      <c r="J3997">
        <v>100</v>
      </c>
      <c r="K3997">
        <v>100</v>
      </c>
      <c r="L3997" s="1" t="s">
        <v>9343</v>
      </c>
      <c r="M3997" t="s">
        <v>189</v>
      </c>
      <c r="N3997">
        <v>2</v>
      </c>
    </row>
    <row r="3998" spans="1:14" x14ac:dyDescent="0.25">
      <c r="A3998" s="3" t="str">
        <f>HYPERLINK("http://www.ncbi.nlm.nih.gov/gene/6834","6834")</f>
        <v>6834</v>
      </c>
      <c r="B3998" s="1" t="s">
        <v>9345</v>
      </c>
      <c r="C3998" t="s">
        <v>9346</v>
      </c>
      <c r="D3998">
        <v>92.3</v>
      </c>
      <c r="E3998">
        <v>94.9</v>
      </c>
      <c r="F3998">
        <v>89.4</v>
      </c>
      <c r="G3998">
        <v>88.2</v>
      </c>
      <c r="H3998">
        <v>130.6</v>
      </c>
      <c r="I3998">
        <v>133.6</v>
      </c>
      <c r="J3998">
        <v>100</v>
      </c>
      <c r="K3998">
        <v>100</v>
      </c>
      <c r="L3998" s="1" t="s">
        <v>9345</v>
      </c>
      <c r="M3998" t="s">
        <v>9347</v>
      </c>
      <c r="N3998">
        <v>5</v>
      </c>
    </row>
    <row r="3999" spans="1:14" x14ac:dyDescent="0.25">
      <c r="A3999" s="3" t="str">
        <f>HYPERLINK("http://www.ncbi.nlm.nih.gov/gene/23512","23512")</f>
        <v>23512</v>
      </c>
      <c r="B3999" s="1" t="s">
        <v>9348</v>
      </c>
      <c r="C3999" t="s">
        <v>9349</v>
      </c>
      <c r="D3999">
        <v>128</v>
      </c>
      <c r="E3999">
        <v>132.30000000000001</v>
      </c>
      <c r="F3999">
        <v>91.4</v>
      </c>
      <c r="G3999">
        <v>86.2</v>
      </c>
      <c r="H3999">
        <v>115.4</v>
      </c>
      <c r="I3999">
        <v>118.7</v>
      </c>
      <c r="J3999">
        <v>100</v>
      </c>
      <c r="K3999">
        <v>100</v>
      </c>
      <c r="L3999" s="1" t="s">
        <v>9348</v>
      </c>
      <c r="M3999" t="s">
        <v>189</v>
      </c>
      <c r="N3999">
        <v>2</v>
      </c>
    </row>
    <row r="4000" spans="1:14" x14ac:dyDescent="0.25">
      <c r="A4000" s="3" t="str">
        <f>HYPERLINK("http://www.ncbi.nlm.nih.gov/gene/374969","374969")</f>
        <v>374969</v>
      </c>
      <c r="B4000" s="1" t="s">
        <v>9350</v>
      </c>
      <c r="C4000" t="s">
        <v>9351</v>
      </c>
      <c r="D4000">
        <v>137.5</v>
      </c>
      <c r="E4000">
        <v>142.9</v>
      </c>
      <c r="F4000">
        <v>100</v>
      </c>
      <c r="G4000">
        <v>100</v>
      </c>
      <c r="H4000">
        <v>129.69999999999999</v>
      </c>
      <c r="I4000">
        <v>132.30000000000001</v>
      </c>
      <c r="J4000">
        <v>100</v>
      </c>
      <c r="K4000">
        <v>100</v>
      </c>
      <c r="L4000" s="1" t="s">
        <v>9350</v>
      </c>
      <c r="M4000" t="s">
        <v>228</v>
      </c>
      <c r="N4000">
        <v>3</v>
      </c>
    </row>
    <row r="4001" spans="1:14" x14ac:dyDescent="0.25">
      <c r="A4001" s="3" t="str">
        <f>HYPERLINK("http://www.ncbi.nlm.nih.gov/gene/93426","93426")</f>
        <v>93426</v>
      </c>
      <c r="B4001" s="1" t="s">
        <v>9352</v>
      </c>
      <c r="C4001" t="s">
        <v>9353</v>
      </c>
      <c r="D4001">
        <v>113.8</v>
      </c>
      <c r="E4001">
        <v>114</v>
      </c>
      <c r="F4001">
        <v>100</v>
      </c>
      <c r="G4001">
        <v>98.6</v>
      </c>
      <c r="H4001">
        <v>144.1</v>
      </c>
      <c r="I4001">
        <v>146.69999999999999</v>
      </c>
      <c r="J4001">
        <v>100</v>
      </c>
      <c r="K4001">
        <v>100</v>
      </c>
      <c r="L4001" s="1" t="s">
        <v>9352</v>
      </c>
      <c r="M4001" t="s">
        <v>409</v>
      </c>
      <c r="N4001">
        <v>2</v>
      </c>
    </row>
    <row r="4002" spans="1:14" x14ac:dyDescent="0.25">
      <c r="A4002" s="3" t="str">
        <f>HYPERLINK("http://www.ncbi.nlm.nih.gov/gene/50511","50511")</f>
        <v>50511</v>
      </c>
      <c r="B4002" s="1" t="s">
        <v>9354</v>
      </c>
      <c r="C4002" t="s">
        <v>9355</v>
      </c>
      <c r="D4002">
        <v>99.4</v>
      </c>
      <c r="E4002">
        <v>101.2</v>
      </c>
      <c r="F4002">
        <v>99.7</v>
      </c>
      <c r="G4002">
        <v>98.2</v>
      </c>
      <c r="H4002">
        <v>126.1</v>
      </c>
      <c r="I4002">
        <v>129.19999999999999</v>
      </c>
      <c r="J4002">
        <v>100</v>
      </c>
      <c r="K4002">
        <v>100</v>
      </c>
      <c r="L4002" s="1" t="s">
        <v>9354</v>
      </c>
      <c r="M4002" t="s">
        <v>285</v>
      </c>
      <c r="N4002">
        <v>1</v>
      </c>
    </row>
    <row r="4003" spans="1:14" x14ac:dyDescent="0.25">
      <c r="A4003" s="3" t="str">
        <f>HYPERLINK("http://www.ncbi.nlm.nih.gov/gene/6853","6853")</f>
        <v>6853</v>
      </c>
      <c r="B4003" s="1" t="s">
        <v>9356</v>
      </c>
      <c r="C4003" t="s">
        <v>9357</v>
      </c>
      <c r="D4003">
        <v>69</v>
      </c>
      <c r="E4003">
        <v>69.2</v>
      </c>
      <c r="F4003">
        <v>81.900000000000006</v>
      </c>
      <c r="G4003">
        <v>73.2</v>
      </c>
      <c r="H4003">
        <v>111.8</v>
      </c>
      <c r="I4003">
        <v>113.5</v>
      </c>
      <c r="J4003">
        <v>100</v>
      </c>
      <c r="K4003">
        <v>99.6</v>
      </c>
      <c r="L4003" s="1" t="s">
        <v>9356</v>
      </c>
      <c r="M4003" t="s">
        <v>1425</v>
      </c>
      <c r="N4003">
        <v>3</v>
      </c>
    </row>
    <row r="4004" spans="1:14" x14ac:dyDescent="0.25">
      <c r="A4004" s="3" t="str">
        <f>HYPERLINK("http://www.ncbi.nlm.nih.gov/gene/10492","10492")</f>
        <v>10492</v>
      </c>
      <c r="B4004" s="1" t="s">
        <v>9358</v>
      </c>
      <c r="C4004" t="s">
        <v>9359</v>
      </c>
      <c r="D4004">
        <v>86.6</v>
      </c>
      <c r="E4004">
        <v>75.900000000000006</v>
      </c>
      <c r="F4004">
        <v>97.8</v>
      </c>
      <c r="G4004">
        <v>87.2</v>
      </c>
      <c r="H4004">
        <v>145.30000000000001</v>
      </c>
      <c r="I4004">
        <v>148</v>
      </c>
      <c r="J4004">
        <v>100</v>
      </c>
      <c r="K4004">
        <v>100</v>
      </c>
      <c r="L4004" s="1" t="s">
        <v>9358</v>
      </c>
      <c r="M4004" t="s">
        <v>189</v>
      </c>
      <c r="N4004">
        <v>2</v>
      </c>
    </row>
    <row r="4005" spans="1:14" x14ac:dyDescent="0.25">
      <c r="A4005" s="3" t="str">
        <f>HYPERLINK("http://www.ncbi.nlm.nih.gov/gene/23345","23345")</f>
        <v>23345</v>
      </c>
      <c r="B4005" s="1" t="s">
        <v>9360</v>
      </c>
      <c r="C4005" t="s">
        <v>9361</v>
      </c>
      <c r="D4005">
        <v>141</v>
      </c>
      <c r="E4005">
        <v>146.30000000000001</v>
      </c>
      <c r="F4005">
        <v>98.2</v>
      </c>
      <c r="G4005">
        <v>97.8</v>
      </c>
      <c r="H4005">
        <v>147.69999999999999</v>
      </c>
      <c r="I4005">
        <v>152.1</v>
      </c>
      <c r="J4005">
        <v>98.8</v>
      </c>
      <c r="K4005">
        <v>98.8</v>
      </c>
      <c r="L4005" s="1" t="s">
        <v>9360</v>
      </c>
      <c r="M4005" t="s">
        <v>9362</v>
      </c>
      <c r="N4005">
        <v>5</v>
      </c>
    </row>
    <row r="4006" spans="1:14" x14ac:dyDescent="0.25">
      <c r="A4006" s="3" t="str">
        <f>HYPERLINK("http://www.ncbi.nlm.nih.gov/gene/23224","23224")</f>
        <v>23224</v>
      </c>
      <c r="B4006" s="1" t="s">
        <v>9363</v>
      </c>
      <c r="C4006" t="s">
        <v>9364</v>
      </c>
      <c r="D4006">
        <v>123</v>
      </c>
      <c r="E4006">
        <v>124.2</v>
      </c>
      <c r="F4006">
        <v>99.7</v>
      </c>
      <c r="G4006">
        <v>98.1</v>
      </c>
      <c r="H4006">
        <v>122.8</v>
      </c>
      <c r="I4006">
        <v>126.6</v>
      </c>
      <c r="J4006">
        <v>100</v>
      </c>
      <c r="K4006">
        <v>99.9</v>
      </c>
      <c r="L4006" s="1" t="s">
        <v>9363</v>
      </c>
      <c r="M4006" t="s">
        <v>197</v>
      </c>
      <c r="N4006">
        <v>2</v>
      </c>
    </row>
    <row r="4007" spans="1:14" x14ac:dyDescent="0.25">
      <c r="A4007" s="3" t="str">
        <f>HYPERLINK("http://www.ncbi.nlm.nih.gov/gene/163183","163183")</f>
        <v>163183</v>
      </c>
      <c r="B4007" s="1" t="s">
        <v>9365</v>
      </c>
      <c r="C4007" t="s">
        <v>9366</v>
      </c>
      <c r="D4007">
        <v>85.9</v>
      </c>
      <c r="E4007">
        <v>88</v>
      </c>
      <c r="F4007">
        <v>99.7</v>
      </c>
      <c r="G4007">
        <v>97</v>
      </c>
      <c r="H4007">
        <v>161.80000000000001</v>
      </c>
      <c r="I4007">
        <v>165.8</v>
      </c>
      <c r="J4007">
        <v>100</v>
      </c>
      <c r="K4007">
        <v>100</v>
      </c>
      <c r="L4007" s="1" t="s">
        <v>9365</v>
      </c>
      <c r="M4007" t="s">
        <v>269</v>
      </c>
      <c r="N4007">
        <v>3</v>
      </c>
    </row>
    <row r="4008" spans="1:14" x14ac:dyDescent="0.25">
      <c r="A4008" s="3" t="str">
        <f>HYPERLINK("http://www.ncbi.nlm.nih.gov/gene/8831","8831")</f>
        <v>8831</v>
      </c>
      <c r="B4008" s="1" t="s">
        <v>9367</v>
      </c>
      <c r="C4008" t="s">
        <v>9368</v>
      </c>
      <c r="D4008">
        <v>162.1</v>
      </c>
      <c r="E4008">
        <v>167.5</v>
      </c>
      <c r="F4008">
        <v>99.4</v>
      </c>
      <c r="G4008">
        <v>98.1</v>
      </c>
      <c r="H4008">
        <v>200.6</v>
      </c>
      <c r="I4008">
        <v>205.4</v>
      </c>
      <c r="J4008">
        <v>100</v>
      </c>
      <c r="K4008">
        <v>100</v>
      </c>
      <c r="L4008" s="1" t="s">
        <v>9367</v>
      </c>
      <c r="M4008" t="s">
        <v>995</v>
      </c>
      <c r="N4008">
        <v>3</v>
      </c>
    </row>
    <row r="4009" spans="1:14" x14ac:dyDescent="0.25">
      <c r="A4009" s="3" t="str">
        <f>HYPERLINK("http://www.ncbi.nlm.nih.gov/gene/8867","8867")</f>
        <v>8867</v>
      </c>
      <c r="B4009" s="1" t="s">
        <v>9369</v>
      </c>
      <c r="C4009" t="s">
        <v>9370</v>
      </c>
      <c r="D4009">
        <v>151.69999999999999</v>
      </c>
      <c r="E4009">
        <v>157.80000000000001</v>
      </c>
      <c r="F4009">
        <v>99.9</v>
      </c>
      <c r="G4009">
        <v>99.4</v>
      </c>
      <c r="H4009">
        <v>125.3</v>
      </c>
      <c r="I4009">
        <v>128.19999999999999</v>
      </c>
      <c r="J4009">
        <v>100</v>
      </c>
      <c r="K4009">
        <v>100</v>
      </c>
      <c r="L4009" s="1" t="s">
        <v>9369</v>
      </c>
      <c r="M4009" t="s">
        <v>1220</v>
      </c>
      <c r="N4009">
        <v>4</v>
      </c>
    </row>
    <row r="4010" spans="1:14" x14ac:dyDescent="0.25">
      <c r="A4010" s="3" t="str">
        <f>HYPERLINK("http://www.ncbi.nlm.nih.gov/gene/6855","6855")</f>
        <v>6855</v>
      </c>
      <c r="B4010" s="1" t="s">
        <v>9371</v>
      </c>
      <c r="C4010" t="s">
        <v>9372</v>
      </c>
      <c r="D4010">
        <v>69</v>
      </c>
      <c r="E4010">
        <v>72.5</v>
      </c>
      <c r="F4010">
        <v>99.9</v>
      </c>
      <c r="G4010">
        <v>96.7</v>
      </c>
      <c r="H4010">
        <v>139.69999999999999</v>
      </c>
      <c r="I4010">
        <v>143.69999999999999</v>
      </c>
      <c r="J4010">
        <v>100</v>
      </c>
      <c r="K4010">
        <v>100</v>
      </c>
      <c r="L4010" s="1" t="s">
        <v>9371</v>
      </c>
      <c r="M4010" t="s">
        <v>731</v>
      </c>
      <c r="N4010">
        <v>3</v>
      </c>
    </row>
    <row r="4011" spans="1:14" x14ac:dyDescent="0.25">
      <c r="A4011" s="3" t="str">
        <f>HYPERLINK("http://www.ncbi.nlm.nih.gov/gene/6857","6857")</f>
        <v>6857</v>
      </c>
      <c r="B4011" s="1" t="s">
        <v>9373</v>
      </c>
      <c r="C4011" t="s">
        <v>9374</v>
      </c>
      <c r="D4011">
        <v>168</v>
      </c>
      <c r="E4011">
        <v>176</v>
      </c>
      <c r="F4011">
        <v>99.8</v>
      </c>
      <c r="G4011">
        <v>98.5</v>
      </c>
      <c r="H4011">
        <v>122.7</v>
      </c>
      <c r="I4011">
        <v>127.1</v>
      </c>
      <c r="J4011">
        <v>100</v>
      </c>
      <c r="K4011">
        <v>100</v>
      </c>
      <c r="L4011" s="1" t="s">
        <v>9373</v>
      </c>
      <c r="M4011" t="s">
        <v>189</v>
      </c>
      <c r="N4011">
        <v>2</v>
      </c>
    </row>
    <row r="4012" spans="1:14" x14ac:dyDescent="0.25">
      <c r="A4012" s="3" t="str">
        <f>HYPERLINK("http://www.ncbi.nlm.nih.gov/gene/255928","255928")</f>
        <v>255928</v>
      </c>
      <c r="B4012" s="1" t="s">
        <v>9375</v>
      </c>
      <c r="C4012" t="s">
        <v>9376</v>
      </c>
      <c r="D4012">
        <v>120.7</v>
      </c>
      <c r="E4012">
        <v>125.4</v>
      </c>
      <c r="F4012">
        <v>61</v>
      </c>
      <c r="G4012">
        <v>60.5</v>
      </c>
      <c r="H4012">
        <v>140.30000000000001</v>
      </c>
      <c r="I4012">
        <v>144.1</v>
      </c>
      <c r="J4012">
        <v>100</v>
      </c>
      <c r="K4012">
        <v>100</v>
      </c>
      <c r="L4012" s="1" t="s">
        <v>9375</v>
      </c>
      <c r="M4012" t="s">
        <v>53</v>
      </c>
      <c r="N4012">
        <v>2</v>
      </c>
    </row>
    <row r="4013" spans="1:14" x14ac:dyDescent="0.25">
      <c r="A4013" s="3" t="str">
        <f>HYPERLINK("http://www.ncbi.nlm.nih.gov/gene/127833","127833")</f>
        <v>127833</v>
      </c>
      <c r="B4013" s="1" t="s">
        <v>9377</v>
      </c>
      <c r="C4013" t="s">
        <v>9378</v>
      </c>
      <c r="D4013">
        <v>95.4</v>
      </c>
      <c r="E4013">
        <v>98.5</v>
      </c>
      <c r="F4013">
        <v>99.9</v>
      </c>
      <c r="G4013">
        <v>99</v>
      </c>
      <c r="H4013">
        <v>146.5</v>
      </c>
      <c r="I4013">
        <v>151.80000000000001</v>
      </c>
      <c r="J4013">
        <v>100</v>
      </c>
      <c r="K4013">
        <v>100</v>
      </c>
      <c r="L4013" s="1" t="s">
        <v>9377</v>
      </c>
      <c r="M4013" t="s">
        <v>9379</v>
      </c>
      <c r="N4013">
        <v>3</v>
      </c>
    </row>
    <row r="4014" spans="1:14" x14ac:dyDescent="0.25">
      <c r="A4014" s="3" t="str">
        <f>HYPERLINK("http://www.ncbi.nlm.nih.gov/gene/23334","23334")</f>
        <v>23334</v>
      </c>
      <c r="B4014" s="1" t="s">
        <v>9380</v>
      </c>
      <c r="C4014" t="s">
        <v>9381</v>
      </c>
      <c r="D4014">
        <v>149.19999999999999</v>
      </c>
      <c r="E4014">
        <v>153.30000000000001</v>
      </c>
      <c r="F4014">
        <v>99.6</v>
      </c>
      <c r="G4014">
        <v>99.5</v>
      </c>
      <c r="H4014">
        <v>146.5</v>
      </c>
      <c r="I4014">
        <v>150.30000000000001</v>
      </c>
      <c r="J4014">
        <v>100</v>
      </c>
      <c r="K4014">
        <v>99.9</v>
      </c>
      <c r="L4014" s="1" t="s">
        <v>9380</v>
      </c>
      <c r="M4014" t="s">
        <v>1206</v>
      </c>
      <c r="N4014">
        <v>5</v>
      </c>
    </row>
    <row r="4015" spans="1:14" x14ac:dyDescent="0.25">
      <c r="A4015" s="3" t="str">
        <f>HYPERLINK("http://www.ncbi.nlm.nih.gov/gene/23118","23118")</f>
        <v>23118</v>
      </c>
      <c r="B4015" s="1" t="s">
        <v>9382</v>
      </c>
      <c r="C4015" t="s">
        <v>9383</v>
      </c>
      <c r="D4015">
        <v>220.8</v>
      </c>
      <c r="E4015">
        <v>212.6</v>
      </c>
      <c r="F4015">
        <v>100</v>
      </c>
      <c r="G4015">
        <v>99.7</v>
      </c>
      <c r="H4015">
        <v>154</v>
      </c>
      <c r="I4015">
        <v>160.19999999999999</v>
      </c>
      <c r="J4015">
        <v>100</v>
      </c>
      <c r="K4015">
        <v>100</v>
      </c>
      <c r="L4015" s="1" t="s">
        <v>9382</v>
      </c>
      <c r="M4015" t="s">
        <v>9384</v>
      </c>
      <c r="N4015">
        <v>4</v>
      </c>
    </row>
    <row r="4016" spans="1:14" x14ac:dyDescent="0.25">
      <c r="A4016" s="3" t="str">
        <f>HYPERLINK("http://www.ncbi.nlm.nih.gov/gene/6866","6866")</f>
        <v>6866</v>
      </c>
      <c r="B4016" s="1" t="s">
        <v>9385</v>
      </c>
      <c r="C4016" t="s">
        <v>9386</v>
      </c>
      <c r="D4016">
        <v>77.900000000000006</v>
      </c>
      <c r="E4016">
        <v>79.3</v>
      </c>
      <c r="F4016">
        <v>100</v>
      </c>
      <c r="G4016">
        <v>99.6</v>
      </c>
      <c r="H4016">
        <v>111.4</v>
      </c>
      <c r="I4016">
        <v>113.3</v>
      </c>
      <c r="J4016">
        <v>100</v>
      </c>
      <c r="K4016">
        <v>100</v>
      </c>
      <c r="L4016" s="1" t="s">
        <v>9385</v>
      </c>
      <c r="M4016" t="s">
        <v>3509</v>
      </c>
      <c r="N4016">
        <v>4</v>
      </c>
    </row>
    <row r="4017" spans="1:14" x14ac:dyDescent="0.25">
      <c r="A4017" s="3" t="str">
        <f>HYPERLINK("http://www.ncbi.nlm.nih.gov/gene/51204","51204")</f>
        <v>51204</v>
      </c>
      <c r="B4017" s="1" t="s">
        <v>9387</v>
      </c>
      <c r="C4017" t="s">
        <v>9388</v>
      </c>
      <c r="D4017">
        <v>92.6</v>
      </c>
      <c r="E4017">
        <v>96.1</v>
      </c>
      <c r="F4017">
        <v>98.4</v>
      </c>
      <c r="G4017">
        <v>93</v>
      </c>
      <c r="H4017">
        <v>133.30000000000001</v>
      </c>
      <c r="I4017">
        <v>138.4</v>
      </c>
      <c r="J4017">
        <v>100</v>
      </c>
      <c r="K4017">
        <v>100</v>
      </c>
      <c r="L4017" s="1" t="s">
        <v>9387</v>
      </c>
      <c r="M4017" t="s">
        <v>905</v>
      </c>
      <c r="N4017">
        <v>3</v>
      </c>
    </row>
    <row r="4018" spans="1:14" x14ac:dyDescent="0.25">
      <c r="A4018" s="3" t="str">
        <f>HYPERLINK("http://www.ncbi.nlm.nih.gov/gene/6870","6870")</f>
        <v>6870</v>
      </c>
      <c r="B4018" s="1" t="s">
        <v>9389</v>
      </c>
      <c r="C4018" t="s">
        <v>9390</v>
      </c>
      <c r="D4018">
        <v>155.6</v>
      </c>
      <c r="E4018">
        <v>150.30000000000001</v>
      </c>
      <c r="F4018">
        <v>100</v>
      </c>
      <c r="G4018">
        <v>100</v>
      </c>
      <c r="H4018">
        <v>160.9</v>
      </c>
      <c r="I4018">
        <v>164.6</v>
      </c>
      <c r="J4018">
        <v>100</v>
      </c>
      <c r="K4018">
        <v>100</v>
      </c>
      <c r="L4018" s="1" t="s">
        <v>9389</v>
      </c>
      <c r="M4018" t="s">
        <v>3509</v>
      </c>
      <c r="N4018">
        <v>4</v>
      </c>
    </row>
    <row r="4019" spans="1:14" x14ac:dyDescent="0.25">
      <c r="A4019" s="3" t="str">
        <f>HYPERLINK("http://www.ncbi.nlm.nih.gov/gene/4070","4070")</f>
        <v>4070</v>
      </c>
      <c r="B4019" s="1" t="s">
        <v>9391</v>
      </c>
      <c r="C4019" t="s">
        <v>9392</v>
      </c>
      <c r="D4019">
        <v>214.3</v>
      </c>
      <c r="E4019">
        <v>214.8</v>
      </c>
      <c r="F4019">
        <v>99</v>
      </c>
      <c r="G4019">
        <v>96.4</v>
      </c>
      <c r="H4019">
        <v>170.8</v>
      </c>
      <c r="I4019">
        <v>175.8</v>
      </c>
      <c r="J4019">
        <v>100</v>
      </c>
      <c r="K4019">
        <v>100</v>
      </c>
      <c r="L4019" s="1" t="s">
        <v>9391</v>
      </c>
      <c r="M4019" t="s">
        <v>56</v>
      </c>
      <c r="N4019">
        <v>3</v>
      </c>
    </row>
    <row r="4020" spans="1:14" x14ac:dyDescent="0.25">
      <c r="A4020" s="3" t="str">
        <f>HYPERLINK("http://www.ncbi.nlm.nih.gov/gene/6872","6872")</f>
        <v>6872</v>
      </c>
      <c r="B4020" s="1" t="s">
        <v>9393</v>
      </c>
      <c r="C4020" t="s">
        <v>9394</v>
      </c>
      <c r="D4020">
        <v>108.6</v>
      </c>
      <c r="E4020">
        <v>108.9</v>
      </c>
      <c r="F4020">
        <v>99.8</v>
      </c>
      <c r="G4020">
        <v>97.7</v>
      </c>
      <c r="H4020">
        <v>126.3</v>
      </c>
      <c r="I4020">
        <v>130.4</v>
      </c>
      <c r="J4020">
        <v>100</v>
      </c>
      <c r="K4020">
        <v>100</v>
      </c>
      <c r="L4020" s="1" t="s">
        <v>9393</v>
      </c>
      <c r="M4020" t="s">
        <v>9395</v>
      </c>
      <c r="N4020">
        <v>4</v>
      </c>
    </row>
    <row r="4021" spans="1:14" x14ac:dyDescent="0.25">
      <c r="A4021" s="3" t="str">
        <f>HYPERLINK("http://www.ncbi.nlm.nih.gov/gene/6884","6884")</f>
        <v>6884</v>
      </c>
      <c r="B4021" s="1" t="s">
        <v>9396</v>
      </c>
      <c r="C4021" t="s">
        <v>9397</v>
      </c>
      <c r="D4021">
        <v>103.2</v>
      </c>
      <c r="E4021">
        <v>105.8</v>
      </c>
      <c r="F4021">
        <v>100</v>
      </c>
      <c r="G4021">
        <v>100</v>
      </c>
      <c r="H4021">
        <v>128.19999999999999</v>
      </c>
      <c r="I4021">
        <v>131.69999999999999</v>
      </c>
      <c r="J4021">
        <v>100</v>
      </c>
      <c r="K4021">
        <v>100</v>
      </c>
      <c r="L4021" s="1" t="s">
        <v>9396</v>
      </c>
      <c r="M4021" t="s">
        <v>228</v>
      </c>
      <c r="N4021">
        <v>3</v>
      </c>
    </row>
    <row r="4022" spans="1:14" x14ac:dyDescent="0.25">
      <c r="A4022" s="3" t="str">
        <f>HYPERLINK("http://www.ncbi.nlm.nih.gov/gene/9013","9013")</f>
        <v>9013</v>
      </c>
      <c r="B4022" s="1" t="s">
        <v>9398</v>
      </c>
      <c r="C4022" t="s">
        <v>9399</v>
      </c>
      <c r="D4022">
        <v>152.80000000000001</v>
      </c>
      <c r="E4022">
        <v>154</v>
      </c>
      <c r="F4022">
        <v>100</v>
      </c>
      <c r="G4022">
        <v>100</v>
      </c>
      <c r="H4022">
        <v>159.30000000000001</v>
      </c>
      <c r="I4022">
        <v>160.9</v>
      </c>
      <c r="J4022">
        <v>100</v>
      </c>
      <c r="K4022">
        <v>100</v>
      </c>
      <c r="L4022" s="1" t="s">
        <v>9398</v>
      </c>
      <c r="M4022" t="s">
        <v>53</v>
      </c>
      <c r="N4022">
        <v>2</v>
      </c>
    </row>
    <row r="4023" spans="1:14" x14ac:dyDescent="0.25">
      <c r="A4023" s="3" t="str">
        <f>HYPERLINK("http://www.ncbi.nlm.nih.gov/gene/6873","6873")</f>
        <v>6873</v>
      </c>
      <c r="B4023" s="1" t="s">
        <v>9400</v>
      </c>
      <c r="C4023" t="s">
        <v>9401</v>
      </c>
      <c r="D4023">
        <v>132.6</v>
      </c>
      <c r="E4023">
        <v>137.6</v>
      </c>
      <c r="F4023">
        <v>99.9</v>
      </c>
      <c r="G4023">
        <v>98.6</v>
      </c>
      <c r="H4023">
        <v>127.7</v>
      </c>
      <c r="I4023">
        <v>131.6</v>
      </c>
      <c r="J4023">
        <v>100</v>
      </c>
      <c r="K4023">
        <v>100</v>
      </c>
      <c r="L4023" s="1" t="s">
        <v>9400</v>
      </c>
      <c r="M4023" t="s">
        <v>228</v>
      </c>
      <c r="N4023">
        <v>3</v>
      </c>
    </row>
    <row r="4024" spans="1:14" x14ac:dyDescent="0.25">
      <c r="A4024" s="3" t="str">
        <f>HYPERLINK("http://www.ncbi.nlm.nih.gov/gene/6875","6875")</f>
        <v>6875</v>
      </c>
      <c r="B4024" s="1" t="s">
        <v>9402</v>
      </c>
      <c r="C4024" t="s">
        <v>9403</v>
      </c>
      <c r="D4024">
        <v>142.80000000000001</v>
      </c>
      <c r="E4024">
        <v>142.6</v>
      </c>
      <c r="F4024">
        <v>97.4</v>
      </c>
      <c r="G4024">
        <v>93.1</v>
      </c>
      <c r="H4024">
        <v>129.6</v>
      </c>
      <c r="I4024">
        <v>131.69999999999999</v>
      </c>
      <c r="J4024">
        <v>100</v>
      </c>
      <c r="K4024">
        <v>100</v>
      </c>
      <c r="L4024" s="1" t="s">
        <v>9402</v>
      </c>
      <c r="M4024" t="s">
        <v>59</v>
      </c>
      <c r="N4024">
        <v>1</v>
      </c>
    </row>
    <row r="4025" spans="1:14" x14ac:dyDescent="0.25">
      <c r="A4025" s="3" t="str">
        <f>HYPERLINK("http://www.ncbi.nlm.nih.gov/gene/6878","6878")</f>
        <v>6878</v>
      </c>
      <c r="B4025" s="1" t="s">
        <v>9404</v>
      </c>
      <c r="C4025" t="s">
        <v>9405</v>
      </c>
      <c r="D4025">
        <v>136.4</v>
      </c>
      <c r="E4025">
        <v>141.1</v>
      </c>
      <c r="F4025">
        <v>99.8</v>
      </c>
      <c r="G4025">
        <v>98.9</v>
      </c>
      <c r="H4025">
        <v>131.19999999999999</v>
      </c>
      <c r="I4025">
        <v>133.9</v>
      </c>
      <c r="J4025">
        <v>100</v>
      </c>
      <c r="K4025">
        <v>100</v>
      </c>
      <c r="L4025" s="1" t="s">
        <v>9404</v>
      </c>
      <c r="M4025" t="s">
        <v>228</v>
      </c>
      <c r="N4025">
        <v>3</v>
      </c>
    </row>
    <row r="4026" spans="1:14" x14ac:dyDescent="0.25">
      <c r="A4026" s="3" t="str">
        <f>HYPERLINK("http://www.ncbi.nlm.nih.gov/gene/6901","6901")</f>
        <v>6901</v>
      </c>
      <c r="B4026" s="1" t="s">
        <v>9406</v>
      </c>
      <c r="C4026" t="s">
        <v>9407</v>
      </c>
      <c r="D4026">
        <v>98.6</v>
      </c>
      <c r="E4026">
        <v>101.2</v>
      </c>
      <c r="F4026">
        <v>99.1</v>
      </c>
      <c r="G4026">
        <v>95.5</v>
      </c>
      <c r="H4026">
        <v>133.19999999999999</v>
      </c>
      <c r="I4026">
        <v>134.5</v>
      </c>
      <c r="J4026">
        <v>100</v>
      </c>
      <c r="K4026">
        <v>100</v>
      </c>
      <c r="L4026" s="1" t="s">
        <v>9408</v>
      </c>
      <c r="M4026" t="s">
        <v>9409</v>
      </c>
      <c r="N4026">
        <v>6</v>
      </c>
    </row>
    <row r="4027" spans="1:14" x14ac:dyDescent="0.25">
      <c r="A4027" s="3" t="str">
        <f>HYPERLINK("http://www.ncbi.nlm.nih.gov/gene/6886","6886")</f>
        <v>6886</v>
      </c>
      <c r="B4027" s="1" t="s">
        <v>9410</v>
      </c>
      <c r="C4027" t="s">
        <v>9411</v>
      </c>
      <c r="D4027">
        <v>60.2</v>
      </c>
      <c r="E4027">
        <v>54.1</v>
      </c>
      <c r="F4027">
        <v>87.1</v>
      </c>
      <c r="G4027">
        <v>73.099999999999994</v>
      </c>
      <c r="H4027">
        <v>119.9</v>
      </c>
      <c r="I4027">
        <v>120.4</v>
      </c>
      <c r="J4027">
        <v>100</v>
      </c>
      <c r="K4027">
        <v>100</v>
      </c>
      <c r="L4027" s="1" t="s">
        <v>9410</v>
      </c>
      <c r="M4027" t="s">
        <v>22</v>
      </c>
      <c r="N4027">
        <v>1</v>
      </c>
    </row>
    <row r="4028" spans="1:14" x14ac:dyDescent="0.25">
      <c r="A4028" s="3" t="str">
        <f>HYPERLINK("http://www.ncbi.nlm.nih.gov/gene/6887","6887")</f>
        <v>6887</v>
      </c>
      <c r="B4028" s="1" t="s">
        <v>9412</v>
      </c>
      <c r="D4028">
        <v>139.19999999999999</v>
      </c>
      <c r="E4028">
        <v>146</v>
      </c>
      <c r="F4028">
        <v>100</v>
      </c>
      <c r="G4028">
        <v>100</v>
      </c>
      <c r="H4028">
        <v>152</v>
      </c>
      <c r="I4028">
        <v>155</v>
      </c>
      <c r="J4028">
        <v>100</v>
      </c>
      <c r="K4028">
        <v>100</v>
      </c>
      <c r="L4028" s="1" t="s">
        <v>9412</v>
      </c>
      <c r="M4028" t="s">
        <v>22</v>
      </c>
      <c r="N4028">
        <v>1</v>
      </c>
    </row>
    <row r="4029" spans="1:14" x14ac:dyDescent="0.25">
      <c r="A4029" s="3" t="str">
        <f>HYPERLINK("http://www.ncbi.nlm.nih.gov/gene/6888","6888")</f>
        <v>6888</v>
      </c>
      <c r="B4029" s="1" t="s">
        <v>9413</v>
      </c>
      <c r="C4029" t="s">
        <v>9414</v>
      </c>
      <c r="D4029">
        <v>139.80000000000001</v>
      </c>
      <c r="E4029">
        <v>151.80000000000001</v>
      </c>
      <c r="F4029">
        <v>100</v>
      </c>
      <c r="G4029">
        <v>97.9</v>
      </c>
      <c r="H4029">
        <v>127.2</v>
      </c>
      <c r="I4029">
        <v>131.69999999999999</v>
      </c>
      <c r="J4029">
        <v>100</v>
      </c>
      <c r="K4029">
        <v>100</v>
      </c>
      <c r="L4029" s="1" t="s">
        <v>9413</v>
      </c>
      <c r="M4029" t="s">
        <v>9415</v>
      </c>
      <c r="N4029">
        <v>6</v>
      </c>
    </row>
    <row r="4030" spans="1:14" x14ac:dyDescent="0.25">
      <c r="A4030" s="3" t="str">
        <f>HYPERLINK("http://www.ncbi.nlm.nih.gov/gene/26115","26115")</f>
        <v>26115</v>
      </c>
      <c r="B4030" s="1" t="s">
        <v>9416</v>
      </c>
      <c r="C4030" t="s">
        <v>9417</v>
      </c>
      <c r="D4030">
        <v>164.8</v>
      </c>
      <c r="E4030">
        <v>165.4</v>
      </c>
      <c r="F4030">
        <v>100</v>
      </c>
      <c r="G4030">
        <v>99.5</v>
      </c>
      <c r="H4030">
        <v>142.19999999999999</v>
      </c>
      <c r="I4030">
        <v>144.5</v>
      </c>
      <c r="J4030">
        <v>100</v>
      </c>
      <c r="K4030">
        <v>100</v>
      </c>
      <c r="L4030" s="1" t="s">
        <v>9416</v>
      </c>
      <c r="M4030" t="s">
        <v>189</v>
      </c>
      <c r="N4030">
        <v>2</v>
      </c>
    </row>
    <row r="4031" spans="1:14" x14ac:dyDescent="0.25">
      <c r="A4031" s="3" t="str">
        <f>HYPERLINK("http://www.ncbi.nlm.nih.gov/gene/128989","128989")</f>
        <v>128989</v>
      </c>
      <c r="B4031" s="1" t="s">
        <v>9418</v>
      </c>
      <c r="C4031" t="s">
        <v>9419</v>
      </c>
      <c r="D4031">
        <v>130.1</v>
      </c>
      <c r="E4031">
        <v>133.1</v>
      </c>
      <c r="F4031">
        <v>100</v>
      </c>
      <c r="G4031">
        <v>99.3</v>
      </c>
      <c r="H4031">
        <v>151.5</v>
      </c>
      <c r="I4031">
        <v>155.9</v>
      </c>
      <c r="J4031">
        <v>100</v>
      </c>
      <c r="K4031">
        <v>100</v>
      </c>
      <c r="L4031" s="1" t="s">
        <v>9418</v>
      </c>
      <c r="M4031" t="s">
        <v>9420</v>
      </c>
      <c r="N4031">
        <v>8</v>
      </c>
    </row>
    <row r="4032" spans="1:14" x14ac:dyDescent="0.25">
      <c r="A4032" s="3" t="str">
        <f>HYPERLINK("http://www.ncbi.nlm.nih.gov/gene/57551","57551")</f>
        <v>57551</v>
      </c>
      <c r="B4032" s="1" t="s">
        <v>9421</v>
      </c>
      <c r="C4032" t="s">
        <v>9422</v>
      </c>
      <c r="D4032">
        <v>146.80000000000001</v>
      </c>
      <c r="E4032">
        <v>152.4</v>
      </c>
      <c r="F4032">
        <v>99.5</v>
      </c>
      <c r="G4032">
        <v>97.9</v>
      </c>
      <c r="H4032">
        <v>125.3</v>
      </c>
      <c r="I4032">
        <v>129.1</v>
      </c>
      <c r="J4032">
        <v>100</v>
      </c>
      <c r="K4032">
        <v>100</v>
      </c>
      <c r="L4032" s="1" t="s">
        <v>9421</v>
      </c>
      <c r="M4032" t="s">
        <v>7464</v>
      </c>
      <c r="N4032">
        <v>3</v>
      </c>
    </row>
    <row r="4033" spans="1:14" x14ac:dyDescent="0.25">
      <c r="A4033" s="3" t="str">
        <f>HYPERLINK("http://www.ncbi.nlm.nih.gov/gene/6890","6890")</f>
        <v>6890</v>
      </c>
      <c r="B4033" s="1" t="s">
        <v>9423</v>
      </c>
      <c r="C4033" t="s">
        <v>9424</v>
      </c>
      <c r="D4033">
        <v>105.4</v>
      </c>
      <c r="E4033">
        <v>108.6</v>
      </c>
      <c r="F4033">
        <v>100</v>
      </c>
      <c r="G4033">
        <v>99.2</v>
      </c>
      <c r="H4033">
        <v>233.3</v>
      </c>
      <c r="I4033">
        <v>237.9</v>
      </c>
      <c r="J4033">
        <v>100</v>
      </c>
      <c r="K4033">
        <v>100</v>
      </c>
      <c r="L4033" s="1" t="s">
        <v>9423</v>
      </c>
      <c r="M4033" t="s">
        <v>2586</v>
      </c>
      <c r="N4033">
        <v>5</v>
      </c>
    </row>
    <row r="4034" spans="1:14" x14ac:dyDescent="0.25">
      <c r="A4034" s="3" t="str">
        <f>HYPERLINK("http://www.ncbi.nlm.nih.gov/gene/6891","6891")</f>
        <v>6891</v>
      </c>
      <c r="B4034" s="1" t="s">
        <v>9425</v>
      </c>
      <c r="C4034" t="s">
        <v>9426</v>
      </c>
      <c r="D4034">
        <v>120.2</v>
      </c>
      <c r="E4034">
        <v>108.9</v>
      </c>
      <c r="F4034">
        <v>99.9</v>
      </c>
      <c r="G4034">
        <v>99.3</v>
      </c>
      <c r="H4034">
        <v>227.3</v>
      </c>
      <c r="I4034">
        <v>232.5</v>
      </c>
      <c r="J4034">
        <v>100</v>
      </c>
      <c r="K4034">
        <v>100</v>
      </c>
      <c r="L4034" s="1" t="s">
        <v>9425</v>
      </c>
      <c r="M4034" t="s">
        <v>2586</v>
      </c>
      <c r="N4034">
        <v>5</v>
      </c>
    </row>
    <row r="4035" spans="1:14" x14ac:dyDescent="0.25">
      <c r="A4035" s="3" t="str">
        <f>HYPERLINK("http://www.ncbi.nlm.nih.gov/gene/6892","6892")</f>
        <v>6892</v>
      </c>
      <c r="B4035" s="1" t="s">
        <v>9427</v>
      </c>
      <c r="C4035" t="s">
        <v>9428</v>
      </c>
      <c r="D4035">
        <v>120.1</v>
      </c>
      <c r="E4035">
        <v>121.8</v>
      </c>
      <c r="F4035">
        <v>96.5</v>
      </c>
      <c r="G4035">
        <v>95.5</v>
      </c>
      <c r="H4035">
        <v>232</v>
      </c>
      <c r="I4035">
        <v>240.3</v>
      </c>
      <c r="J4035">
        <v>96.6</v>
      </c>
      <c r="K4035">
        <v>96.6</v>
      </c>
      <c r="L4035" s="1" t="s">
        <v>9427</v>
      </c>
      <c r="M4035" t="s">
        <v>2586</v>
      </c>
      <c r="N4035">
        <v>5</v>
      </c>
    </row>
    <row r="4036" spans="1:14" x14ac:dyDescent="0.25">
      <c r="A4036" s="3" t="str">
        <f>HYPERLINK("http://www.ncbi.nlm.nih.gov/gene/202018","202018")</f>
        <v>202018</v>
      </c>
      <c r="B4036" s="1" t="s">
        <v>9429</v>
      </c>
      <c r="C4036" t="s">
        <v>9430</v>
      </c>
      <c r="D4036">
        <v>106.7</v>
      </c>
      <c r="E4036">
        <v>111.4</v>
      </c>
      <c r="F4036">
        <v>91.7</v>
      </c>
      <c r="G4036">
        <v>86.9</v>
      </c>
      <c r="H4036">
        <v>107.4</v>
      </c>
      <c r="I4036">
        <v>110.1</v>
      </c>
      <c r="J4036">
        <v>98.5</v>
      </c>
      <c r="K4036">
        <v>94.8</v>
      </c>
      <c r="L4036" s="1" t="s">
        <v>9429</v>
      </c>
      <c r="M4036" t="s">
        <v>1184</v>
      </c>
      <c r="N4036">
        <v>4</v>
      </c>
    </row>
    <row r="4037" spans="1:14" x14ac:dyDescent="0.25">
      <c r="A4037" s="3" t="str">
        <f>HYPERLINK("http://www.ncbi.nlm.nih.gov/gene/23435","23435")</f>
        <v>23435</v>
      </c>
      <c r="B4037" s="1" t="s">
        <v>9431</v>
      </c>
      <c r="C4037" t="s">
        <v>9432</v>
      </c>
      <c r="D4037">
        <v>146.69999999999999</v>
      </c>
      <c r="E4037">
        <v>150</v>
      </c>
      <c r="F4037">
        <v>100</v>
      </c>
      <c r="G4037">
        <v>100</v>
      </c>
      <c r="H4037">
        <v>147.30000000000001</v>
      </c>
      <c r="I4037">
        <v>150.9</v>
      </c>
      <c r="J4037">
        <v>100</v>
      </c>
      <c r="K4037">
        <v>100</v>
      </c>
      <c r="L4037" s="1" t="s">
        <v>9431</v>
      </c>
      <c r="M4037" t="s">
        <v>617</v>
      </c>
      <c r="N4037">
        <v>2</v>
      </c>
    </row>
    <row r="4038" spans="1:14" x14ac:dyDescent="0.25">
      <c r="A4038" s="3" t="str">
        <f>HYPERLINK("http://www.ncbi.nlm.nih.gov/gene/6897","6897")</f>
        <v>6897</v>
      </c>
      <c r="B4038" s="1" t="s">
        <v>9433</v>
      </c>
      <c r="C4038" t="s">
        <v>9434</v>
      </c>
      <c r="D4038">
        <v>125.5</v>
      </c>
      <c r="E4038">
        <v>129.19999999999999</v>
      </c>
      <c r="F4038">
        <v>99.9</v>
      </c>
      <c r="G4038">
        <v>98.1</v>
      </c>
      <c r="H4038">
        <v>125.9</v>
      </c>
      <c r="I4038">
        <v>128.9</v>
      </c>
      <c r="J4038">
        <v>100</v>
      </c>
      <c r="K4038">
        <v>100</v>
      </c>
      <c r="L4038" s="1" t="s">
        <v>9433</v>
      </c>
      <c r="M4038" t="s">
        <v>59</v>
      </c>
      <c r="N4038">
        <v>1</v>
      </c>
    </row>
    <row r="4039" spans="1:14" x14ac:dyDescent="0.25">
      <c r="A4039" s="3" t="str">
        <f>HYPERLINK("http://www.ncbi.nlm.nih.gov/gene/80222","80222")</f>
        <v>80222</v>
      </c>
      <c r="B4039" s="1" t="s">
        <v>9435</v>
      </c>
      <c r="C4039" t="s">
        <v>9436</v>
      </c>
      <c r="D4039">
        <v>103.6</v>
      </c>
      <c r="E4039">
        <v>107.1</v>
      </c>
      <c r="F4039">
        <v>100</v>
      </c>
      <c r="G4039">
        <v>99.3</v>
      </c>
      <c r="H4039">
        <v>127.6</v>
      </c>
      <c r="I4039">
        <v>130.69999999999999</v>
      </c>
      <c r="J4039">
        <v>100</v>
      </c>
      <c r="K4039">
        <v>100</v>
      </c>
      <c r="L4039" s="1" t="s">
        <v>9435</v>
      </c>
      <c r="M4039" t="s">
        <v>766</v>
      </c>
      <c r="N4039">
        <v>3</v>
      </c>
    </row>
    <row r="4040" spans="1:14" x14ac:dyDescent="0.25">
      <c r="A4040" s="3" t="str">
        <f>HYPERLINK("http://www.ncbi.nlm.nih.gov/gene/55617","55617")</f>
        <v>55617</v>
      </c>
      <c r="B4040" s="1" t="s">
        <v>9437</v>
      </c>
      <c r="C4040" t="s">
        <v>9438</v>
      </c>
      <c r="D4040">
        <v>143.9</v>
      </c>
      <c r="E4040">
        <v>147.69999999999999</v>
      </c>
      <c r="F4040">
        <v>99.7</v>
      </c>
      <c r="G4040">
        <v>98.8</v>
      </c>
      <c r="H4040">
        <v>131.6</v>
      </c>
      <c r="I4040">
        <v>134.5</v>
      </c>
      <c r="J4040">
        <v>100</v>
      </c>
      <c r="K4040">
        <v>100</v>
      </c>
      <c r="L4040" s="1" t="s">
        <v>9437</v>
      </c>
      <c r="M4040" t="s">
        <v>50</v>
      </c>
      <c r="N4040">
        <v>2</v>
      </c>
    </row>
    <row r="4041" spans="1:14" x14ac:dyDescent="0.25">
      <c r="A4041" s="3" t="str">
        <f>HYPERLINK("http://www.ncbi.nlm.nih.gov/gene/6898","6898")</f>
        <v>6898</v>
      </c>
      <c r="B4041" s="1" t="s">
        <v>9439</v>
      </c>
      <c r="D4041">
        <v>135</v>
      </c>
      <c r="E4041">
        <v>136.4</v>
      </c>
      <c r="F4041">
        <v>100</v>
      </c>
      <c r="G4041">
        <v>100</v>
      </c>
      <c r="H4041">
        <v>145.5</v>
      </c>
      <c r="I4041">
        <v>149.6</v>
      </c>
      <c r="J4041">
        <v>100</v>
      </c>
      <c r="K4041">
        <v>100</v>
      </c>
      <c r="L4041" s="1" t="s">
        <v>9439</v>
      </c>
      <c r="M4041" t="s">
        <v>110</v>
      </c>
      <c r="N4041">
        <v>5</v>
      </c>
    </row>
    <row r="4042" spans="1:14" x14ac:dyDescent="0.25">
      <c r="A4042" s="3" t="str">
        <f>HYPERLINK("http://www.ncbi.nlm.nih.gov/gene/30851","30851")</f>
        <v>30851</v>
      </c>
      <c r="B4042" s="1" t="s">
        <v>9440</v>
      </c>
      <c r="C4042" t="s">
        <v>9441</v>
      </c>
      <c r="D4042">
        <v>100.5</v>
      </c>
      <c r="E4042">
        <v>101.4</v>
      </c>
      <c r="F4042">
        <v>99.8</v>
      </c>
      <c r="G4042">
        <v>99.1</v>
      </c>
      <c r="H4042">
        <v>132.4</v>
      </c>
      <c r="I4042">
        <v>135.1</v>
      </c>
      <c r="J4042">
        <v>100</v>
      </c>
      <c r="K4042">
        <v>100</v>
      </c>
      <c r="L4042" s="1" t="s">
        <v>9440</v>
      </c>
      <c r="M4042" t="s">
        <v>661</v>
      </c>
      <c r="N4042">
        <v>2</v>
      </c>
    </row>
    <row r="4043" spans="1:14" x14ac:dyDescent="0.25">
      <c r="A4043" s="3" t="str">
        <f>HYPERLINK("http://www.ncbi.nlm.nih.gov/gene/128637","128637")</f>
        <v>128637</v>
      </c>
      <c r="B4043" s="1" t="s">
        <v>9442</v>
      </c>
      <c r="C4043" t="s">
        <v>9443</v>
      </c>
      <c r="D4043">
        <v>122.9</v>
      </c>
      <c r="E4043">
        <v>127.7</v>
      </c>
      <c r="F4043">
        <v>94.2</v>
      </c>
      <c r="G4043">
        <v>94.2</v>
      </c>
      <c r="H4043">
        <v>138.80000000000001</v>
      </c>
      <c r="I4043">
        <v>143.69999999999999</v>
      </c>
      <c r="J4043">
        <v>100</v>
      </c>
      <c r="K4043">
        <v>99.9</v>
      </c>
      <c r="L4043" s="1" t="s">
        <v>9442</v>
      </c>
      <c r="M4043" t="s">
        <v>288</v>
      </c>
      <c r="N4043">
        <v>4</v>
      </c>
    </row>
    <row r="4044" spans="1:14" x14ac:dyDescent="0.25">
      <c r="A4044" s="3" t="str">
        <f>HYPERLINK("http://www.ncbi.nlm.nih.gov/gene/55773","55773")</f>
        <v>55773</v>
      </c>
      <c r="B4044" s="1" t="s">
        <v>9444</v>
      </c>
      <c r="C4044" t="s">
        <v>9445</v>
      </c>
      <c r="D4044">
        <v>109.9</v>
      </c>
      <c r="E4044">
        <v>113.4</v>
      </c>
      <c r="F4044">
        <v>99.7</v>
      </c>
      <c r="G4044">
        <v>97.2</v>
      </c>
      <c r="H4044">
        <v>116.4</v>
      </c>
      <c r="I4044">
        <v>119.1</v>
      </c>
      <c r="J4044">
        <v>100</v>
      </c>
      <c r="K4044">
        <v>100</v>
      </c>
      <c r="L4044" s="1" t="s">
        <v>9444</v>
      </c>
      <c r="M4044" t="s">
        <v>548</v>
      </c>
      <c r="N4044">
        <v>5</v>
      </c>
    </row>
    <row r="4045" spans="1:14" x14ac:dyDescent="0.25">
      <c r="A4045" s="3" t="str">
        <f>HYPERLINK("http://www.ncbi.nlm.nih.gov/gene/57465","57465")</f>
        <v>57465</v>
      </c>
      <c r="B4045" s="1" t="s">
        <v>9446</v>
      </c>
      <c r="C4045" t="s">
        <v>9447</v>
      </c>
      <c r="D4045">
        <v>172.9</v>
      </c>
      <c r="E4045">
        <v>172.2</v>
      </c>
      <c r="F4045">
        <v>100</v>
      </c>
      <c r="G4045">
        <v>100</v>
      </c>
      <c r="H4045">
        <v>145.69999999999999</v>
      </c>
      <c r="I4045">
        <v>152.1</v>
      </c>
      <c r="J4045">
        <v>100</v>
      </c>
      <c r="K4045">
        <v>100</v>
      </c>
      <c r="L4045" s="1" t="s">
        <v>9446</v>
      </c>
      <c r="M4045" t="s">
        <v>9448</v>
      </c>
      <c r="N4045">
        <v>6</v>
      </c>
    </row>
    <row r="4046" spans="1:14" x14ac:dyDescent="0.25">
      <c r="A4046" s="3" t="str">
        <f>HYPERLINK("http://www.ncbi.nlm.nih.gov/gene/23102","23102")</f>
        <v>23102</v>
      </c>
      <c r="B4046" s="1" t="s">
        <v>9449</v>
      </c>
      <c r="D4046">
        <v>119.4</v>
      </c>
      <c r="E4046">
        <v>120.7</v>
      </c>
      <c r="F4046">
        <v>99.3</v>
      </c>
      <c r="G4046">
        <v>97.6</v>
      </c>
      <c r="H4046">
        <v>134.80000000000001</v>
      </c>
      <c r="I4046">
        <v>140.80000000000001</v>
      </c>
      <c r="J4046">
        <v>98.5</v>
      </c>
      <c r="K4046">
        <v>97.8</v>
      </c>
      <c r="L4046" s="1" t="s">
        <v>9449</v>
      </c>
      <c r="M4046" t="s">
        <v>50</v>
      </c>
      <c r="N4046">
        <v>2</v>
      </c>
    </row>
    <row r="4047" spans="1:14" x14ac:dyDescent="0.25">
      <c r="A4047" s="3" t="str">
        <f>HYPERLINK("http://www.ncbi.nlm.nih.gov/gene/221322","221322")</f>
        <v>221322</v>
      </c>
      <c r="B4047" s="1" t="s">
        <v>9450</v>
      </c>
      <c r="C4047" t="s">
        <v>9451</v>
      </c>
      <c r="D4047">
        <v>112</v>
      </c>
      <c r="E4047">
        <v>116.8</v>
      </c>
      <c r="F4047">
        <v>99</v>
      </c>
      <c r="G4047">
        <v>95.8</v>
      </c>
      <c r="H4047">
        <v>125.2</v>
      </c>
      <c r="I4047">
        <v>128.6</v>
      </c>
      <c r="J4047">
        <v>100</v>
      </c>
      <c r="K4047">
        <v>100</v>
      </c>
      <c r="L4047" s="1" t="s">
        <v>9450</v>
      </c>
      <c r="M4047" t="s">
        <v>1495</v>
      </c>
      <c r="N4047">
        <v>2</v>
      </c>
    </row>
    <row r="4048" spans="1:14" x14ac:dyDescent="0.25">
      <c r="A4048" s="3" t="str">
        <f>HYPERLINK("http://www.ncbi.nlm.nih.gov/gene/51256","51256")</f>
        <v>51256</v>
      </c>
      <c r="B4048" s="1" t="s">
        <v>9452</v>
      </c>
      <c r="C4048" t="s">
        <v>9453</v>
      </c>
      <c r="D4048">
        <v>125.1</v>
      </c>
      <c r="E4048">
        <v>127.2</v>
      </c>
      <c r="F4048">
        <v>100</v>
      </c>
      <c r="G4048">
        <v>99.3</v>
      </c>
      <c r="H4048">
        <v>142.1</v>
      </c>
      <c r="I4048">
        <v>146.19999999999999</v>
      </c>
      <c r="J4048">
        <v>100</v>
      </c>
      <c r="K4048">
        <v>100</v>
      </c>
      <c r="L4048" s="1" t="s">
        <v>9452</v>
      </c>
      <c r="M4048" t="s">
        <v>228</v>
      </c>
      <c r="N4048">
        <v>3</v>
      </c>
    </row>
    <row r="4049" spans="1:14" x14ac:dyDescent="0.25">
      <c r="A4049" s="3" t="str">
        <f>HYPERLINK("http://www.ncbi.nlm.nih.gov/gene/54885","54885")</f>
        <v>54885</v>
      </c>
      <c r="B4049" s="1" t="s">
        <v>9454</v>
      </c>
      <c r="C4049" t="s">
        <v>9455</v>
      </c>
      <c r="D4049">
        <v>105.5</v>
      </c>
      <c r="E4049">
        <v>109.5</v>
      </c>
      <c r="F4049">
        <v>98.5</v>
      </c>
      <c r="G4049">
        <v>93.2</v>
      </c>
      <c r="H4049">
        <v>110.5</v>
      </c>
      <c r="I4049">
        <v>113.7</v>
      </c>
      <c r="J4049">
        <v>100</v>
      </c>
      <c r="K4049">
        <v>100</v>
      </c>
      <c r="L4049" s="1" t="s">
        <v>9454</v>
      </c>
      <c r="M4049" t="s">
        <v>9456</v>
      </c>
      <c r="N4049">
        <v>2</v>
      </c>
    </row>
    <row r="4050" spans="1:14" x14ac:dyDescent="0.25">
      <c r="A4050" s="3" t="str">
        <f>HYPERLINK("http://www.ncbi.nlm.nih.gov/gene/6904","6904")</f>
        <v>6904</v>
      </c>
      <c r="B4050" s="1" t="s">
        <v>9457</v>
      </c>
      <c r="C4050" t="s">
        <v>9458</v>
      </c>
      <c r="D4050">
        <v>143</v>
      </c>
      <c r="E4050">
        <v>147</v>
      </c>
      <c r="F4050">
        <v>96.2</v>
      </c>
      <c r="G4050">
        <v>94.4</v>
      </c>
      <c r="H4050">
        <v>148.69999999999999</v>
      </c>
      <c r="I4050">
        <v>152</v>
      </c>
      <c r="J4050">
        <v>100</v>
      </c>
      <c r="K4050">
        <v>100</v>
      </c>
      <c r="L4050" s="1" t="s">
        <v>9457</v>
      </c>
      <c r="M4050" t="s">
        <v>9459</v>
      </c>
      <c r="N4050">
        <v>6</v>
      </c>
    </row>
    <row r="4051" spans="1:14" x14ac:dyDescent="0.25">
      <c r="A4051" s="3" t="str">
        <f>HYPERLINK("http://www.ncbi.nlm.nih.gov/gene/6905","6905")</f>
        <v>6905</v>
      </c>
      <c r="B4051" s="1" t="s">
        <v>9460</v>
      </c>
      <c r="C4051" t="s">
        <v>9461</v>
      </c>
      <c r="D4051">
        <v>141.69999999999999</v>
      </c>
      <c r="E4051">
        <v>146.6</v>
      </c>
      <c r="F4051">
        <v>99.8</v>
      </c>
      <c r="G4051">
        <v>97.5</v>
      </c>
      <c r="H4051">
        <v>125.6</v>
      </c>
      <c r="I4051">
        <v>129.19999999999999</v>
      </c>
      <c r="J4051">
        <v>100</v>
      </c>
      <c r="K4051">
        <v>100</v>
      </c>
      <c r="L4051" s="1" t="s">
        <v>9460</v>
      </c>
      <c r="M4051" t="s">
        <v>9462</v>
      </c>
      <c r="N4051">
        <v>6</v>
      </c>
    </row>
    <row r="4052" spans="1:14" x14ac:dyDescent="0.25">
      <c r="A4052" s="3" t="str">
        <f>HYPERLINK("http://www.ncbi.nlm.nih.gov/gene/93627","93627")</f>
        <v>93627</v>
      </c>
      <c r="B4052" s="1" t="s">
        <v>9463</v>
      </c>
      <c r="C4052" t="s">
        <v>9464</v>
      </c>
      <c r="D4052">
        <v>122.8</v>
      </c>
      <c r="E4052">
        <v>125.7</v>
      </c>
      <c r="F4052">
        <v>99.1</v>
      </c>
      <c r="G4052">
        <v>96.8</v>
      </c>
      <c r="H4052">
        <v>120.9</v>
      </c>
      <c r="I4052">
        <v>124.1</v>
      </c>
      <c r="J4052">
        <v>100</v>
      </c>
      <c r="K4052">
        <v>100</v>
      </c>
      <c r="L4052" s="1" t="s">
        <v>9463</v>
      </c>
      <c r="M4052" t="s">
        <v>228</v>
      </c>
      <c r="N4052">
        <v>3</v>
      </c>
    </row>
    <row r="4053" spans="1:14" x14ac:dyDescent="0.25">
      <c r="A4053" s="3" t="str">
        <f>HYPERLINK("http://www.ncbi.nlm.nih.gov/gene/29110","29110")</f>
        <v>29110</v>
      </c>
      <c r="B4053" s="1" t="s">
        <v>9465</v>
      </c>
      <c r="C4053" t="s">
        <v>9466</v>
      </c>
      <c r="D4053">
        <v>116.8</v>
      </c>
      <c r="E4053">
        <v>121.6</v>
      </c>
      <c r="F4053">
        <v>99.7</v>
      </c>
      <c r="G4053">
        <v>97.2</v>
      </c>
      <c r="H4053">
        <v>108.9</v>
      </c>
      <c r="I4053">
        <v>112.1</v>
      </c>
      <c r="J4053">
        <v>100</v>
      </c>
      <c r="K4053">
        <v>100</v>
      </c>
      <c r="L4053" s="1" t="s">
        <v>9465</v>
      </c>
      <c r="M4053" t="s">
        <v>617</v>
      </c>
      <c r="N4053">
        <v>2</v>
      </c>
    </row>
    <row r="4054" spans="1:14" x14ac:dyDescent="0.25">
      <c r="A4054" s="3" t="str">
        <f>HYPERLINK("http://www.ncbi.nlm.nih.gov/gene/6907","6907")</f>
        <v>6907</v>
      </c>
      <c r="B4054" s="1" t="s">
        <v>9467</v>
      </c>
      <c r="C4054" t="s">
        <v>9468</v>
      </c>
      <c r="D4054">
        <v>119.5</v>
      </c>
      <c r="E4054">
        <v>121.2</v>
      </c>
      <c r="F4054">
        <v>96</v>
      </c>
      <c r="G4054">
        <v>90.7</v>
      </c>
      <c r="H4054">
        <v>139.1</v>
      </c>
      <c r="I4054">
        <v>142.69999999999999</v>
      </c>
      <c r="J4054">
        <v>100</v>
      </c>
      <c r="K4054">
        <v>100</v>
      </c>
      <c r="L4054" s="1" t="s">
        <v>9467</v>
      </c>
      <c r="M4054" t="s">
        <v>291</v>
      </c>
      <c r="N4054">
        <v>1</v>
      </c>
    </row>
    <row r="4055" spans="1:14" x14ac:dyDescent="0.25">
      <c r="A4055" s="3" t="str">
        <f>HYPERLINK("http://www.ncbi.nlm.nih.gov/gene/79718","79718")</f>
        <v>79718</v>
      </c>
      <c r="B4055" s="1" t="s">
        <v>9469</v>
      </c>
      <c r="C4055" t="s">
        <v>9470</v>
      </c>
      <c r="D4055">
        <v>74.400000000000006</v>
      </c>
      <c r="E4055">
        <v>75.400000000000006</v>
      </c>
      <c r="F4055">
        <v>96.5</v>
      </c>
      <c r="G4055">
        <v>84.9</v>
      </c>
      <c r="H4055">
        <v>136.69999999999999</v>
      </c>
      <c r="I4055">
        <v>139.9</v>
      </c>
      <c r="J4055">
        <v>100</v>
      </c>
      <c r="K4055">
        <v>100</v>
      </c>
      <c r="L4055" s="1" t="s">
        <v>9469</v>
      </c>
      <c r="M4055" t="s">
        <v>189</v>
      </c>
      <c r="N4055">
        <v>2</v>
      </c>
    </row>
    <row r="4056" spans="1:14" x14ac:dyDescent="0.25">
      <c r="A4056" s="3" t="str">
        <f>HYPERLINK("http://www.ncbi.nlm.nih.gov/gene/90665","90665")</f>
        <v>90665</v>
      </c>
      <c r="B4056" s="1" t="s">
        <v>9471</v>
      </c>
      <c r="C4056" t="s">
        <v>9472</v>
      </c>
      <c r="D4056">
        <v>40.6</v>
      </c>
      <c r="E4056">
        <v>41.6</v>
      </c>
      <c r="F4056">
        <v>49.4</v>
      </c>
      <c r="G4056">
        <v>45.3</v>
      </c>
      <c r="H4056">
        <v>61.2</v>
      </c>
      <c r="I4056">
        <v>62.9</v>
      </c>
      <c r="J4056">
        <v>60</v>
      </c>
      <c r="K4056">
        <v>59.9</v>
      </c>
      <c r="L4056" s="1" t="s">
        <v>9471</v>
      </c>
      <c r="M4056" t="s">
        <v>9473</v>
      </c>
      <c r="N4056">
        <v>2</v>
      </c>
    </row>
    <row r="4057" spans="1:14" x14ac:dyDescent="0.25">
      <c r="A4057" s="3" t="str">
        <f>HYPERLINK("http://www.ncbi.nlm.nih.gov/gene/6908","6908")</f>
        <v>6908</v>
      </c>
      <c r="B4057" s="1" t="s">
        <v>9474</v>
      </c>
      <c r="C4057" t="s">
        <v>9475</v>
      </c>
      <c r="D4057">
        <v>137.9</v>
      </c>
      <c r="E4057">
        <v>114.6</v>
      </c>
      <c r="F4057">
        <v>100</v>
      </c>
      <c r="G4057">
        <v>99.9</v>
      </c>
      <c r="H4057">
        <v>155.9</v>
      </c>
      <c r="I4057">
        <v>153.80000000000001</v>
      </c>
      <c r="J4057">
        <v>100</v>
      </c>
      <c r="K4057">
        <v>100</v>
      </c>
      <c r="L4057" s="1" t="s">
        <v>9474</v>
      </c>
      <c r="M4057" t="s">
        <v>189</v>
      </c>
      <c r="N4057">
        <v>2</v>
      </c>
    </row>
    <row r="4058" spans="1:14" x14ac:dyDescent="0.25">
      <c r="A4058" s="3" t="str">
        <f>HYPERLINK("http://www.ncbi.nlm.nih.gov/gene/10716","10716")</f>
        <v>10716</v>
      </c>
      <c r="B4058" s="1" t="s">
        <v>9476</v>
      </c>
      <c r="C4058" t="s">
        <v>9477</v>
      </c>
      <c r="D4058">
        <v>144.30000000000001</v>
      </c>
      <c r="E4058">
        <v>138.4</v>
      </c>
      <c r="F4058">
        <v>99.9</v>
      </c>
      <c r="G4058">
        <v>97.9</v>
      </c>
      <c r="H4058">
        <v>137.5</v>
      </c>
      <c r="I4058">
        <v>138.69999999999999</v>
      </c>
      <c r="J4058">
        <v>100</v>
      </c>
      <c r="K4058">
        <v>100</v>
      </c>
      <c r="L4058" s="1" t="s">
        <v>9476</v>
      </c>
      <c r="M4058" t="s">
        <v>189</v>
      </c>
      <c r="N4058">
        <v>2</v>
      </c>
    </row>
    <row r="4059" spans="1:14" x14ac:dyDescent="0.25">
      <c r="A4059" s="3" t="str">
        <f>HYPERLINK("http://www.ncbi.nlm.nih.gov/gene/6899","6899")</f>
        <v>6899</v>
      </c>
      <c r="B4059" s="1" t="s">
        <v>9478</v>
      </c>
      <c r="C4059" t="s">
        <v>9479</v>
      </c>
      <c r="D4059">
        <v>89.2</v>
      </c>
      <c r="E4059">
        <v>89.7</v>
      </c>
      <c r="F4059">
        <v>87</v>
      </c>
      <c r="G4059">
        <v>77.5</v>
      </c>
      <c r="H4059">
        <v>108.1</v>
      </c>
      <c r="I4059">
        <v>105.9</v>
      </c>
      <c r="J4059">
        <v>94</v>
      </c>
      <c r="K4059">
        <v>89.9</v>
      </c>
      <c r="L4059" s="1" t="s">
        <v>9478</v>
      </c>
      <c r="M4059" t="s">
        <v>9480</v>
      </c>
      <c r="N4059">
        <v>8</v>
      </c>
    </row>
    <row r="4060" spans="1:14" x14ac:dyDescent="0.25">
      <c r="A4060" s="3" t="str">
        <f>HYPERLINK("http://www.ncbi.nlm.nih.gov/gene/6913","6913")</f>
        <v>6913</v>
      </c>
      <c r="B4060" s="1" t="s">
        <v>9481</v>
      </c>
      <c r="C4060" t="s">
        <v>9482</v>
      </c>
      <c r="D4060">
        <v>107.3</v>
      </c>
      <c r="E4060">
        <v>113</v>
      </c>
      <c r="F4060">
        <v>100</v>
      </c>
      <c r="G4060">
        <v>99.9</v>
      </c>
      <c r="H4060">
        <v>136</v>
      </c>
      <c r="I4060">
        <v>140.19999999999999</v>
      </c>
      <c r="J4060">
        <v>100</v>
      </c>
      <c r="K4060">
        <v>100</v>
      </c>
      <c r="L4060" s="1" t="s">
        <v>9481</v>
      </c>
      <c r="M4060" t="s">
        <v>1184</v>
      </c>
      <c r="N4060">
        <v>4</v>
      </c>
    </row>
    <row r="4061" spans="1:14" x14ac:dyDescent="0.25">
      <c r="A4061" s="3" t="str">
        <f>HYPERLINK("http://www.ncbi.nlm.nih.gov/gene/9096","9096")</f>
        <v>9096</v>
      </c>
      <c r="B4061" s="1" t="s">
        <v>9483</v>
      </c>
      <c r="C4061" t="s">
        <v>9484</v>
      </c>
      <c r="D4061">
        <v>101.9</v>
      </c>
      <c r="E4061">
        <v>99.5</v>
      </c>
      <c r="F4061">
        <v>99.5</v>
      </c>
      <c r="G4061">
        <v>97.1</v>
      </c>
      <c r="H4061">
        <v>142.30000000000001</v>
      </c>
      <c r="I4061">
        <v>145.19999999999999</v>
      </c>
      <c r="J4061">
        <v>100</v>
      </c>
      <c r="K4061">
        <v>100</v>
      </c>
      <c r="L4061" s="1" t="s">
        <v>9483</v>
      </c>
      <c r="M4061" t="s">
        <v>200</v>
      </c>
      <c r="N4061">
        <v>2</v>
      </c>
    </row>
    <row r="4062" spans="1:14" x14ac:dyDescent="0.25">
      <c r="A4062" s="3" t="str">
        <f>HYPERLINK("http://www.ncbi.nlm.nih.gov/gene/9095","9095")</f>
        <v>9095</v>
      </c>
      <c r="B4062" s="1" t="s">
        <v>9485</v>
      </c>
      <c r="C4062" t="s">
        <v>9486</v>
      </c>
      <c r="D4062">
        <v>179.7</v>
      </c>
      <c r="E4062">
        <v>185.4</v>
      </c>
      <c r="F4062">
        <v>100</v>
      </c>
      <c r="G4062">
        <v>100</v>
      </c>
      <c r="H4062">
        <v>154.9</v>
      </c>
      <c r="I4062">
        <v>160.19999999999999</v>
      </c>
      <c r="J4062">
        <v>100</v>
      </c>
      <c r="K4062">
        <v>100</v>
      </c>
      <c r="L4062" s="1" t="s">
        <v>9485</v>
      </c>
      <c r="M4062" t="s">
        <v>1472</v>
      </c>
      <c r="N4062">
        <v>3</v>
      </c>
    </row>
    <row r="4063" spans="1:14" x14ac:dyDescent="0.25">
      <c r="A4063" s="3" t="str">
        <f>HYPERLINK("http://www.ncbi.nlm.nih.gov/gene/6909","6909")</f>
        <v>6909</v>
      </c>
      <c r="B4063" s="1" t="s">
        <v>9487</v>
      </c>
      <c r="C4063" t="s">
        <v>9488</v>
      </c>
      <c r="D4063">
        <v>125.9</v>
      </c>
      <c r="E4063">
        <v>132.9</v>
      </c>
      <c r="F4063">
        <v>99.9</v>
      </c>
      <c r="G4063">
        <v>97.5</v>
      </c>
      <c r="H4063">
        <v>135.30000000000001</v>
      </c>
      <c r="I4063">
        <v>137.1</v>
      </c>
      <c r="J4063">
        <v>99</v>
      </c>
      <c r="K4063">
        <v>96.9</v>
      </c>
      <c r="L4063" s="1" t="s">
        <v>9487</v>
      </c>
      <c r="M4063" t="s">
        <v>2416</v>
      </c>
      <c r="N4063">
        <v>2</v>
      </c>
    </row>
    <row r="4064" spans="1:14" x14ac:dyDescent="0.25">
      <c r="A4064" s="3" t="str">
        <f>HYPERLINK("http://www.ncbi.nlm.nih.gov/gene/57057","57057")</f>
        <v>57057</v>
      </c>
      <c r="B4064" s="1" t="s">
        <v>9489</v>
      </c>
      <c r="C4064" t="s">
        <v>9490</v>
      </c>
      <c r="D4064">
        <v>115.2</v>
      </c>
      <c r="E4064">
        <v>120.7</v>
      </c>
      <c r="F4064">
        <v>100</v>
      </c>
      <c r="G4064">
        <v>99.7</v>
      </c>
      <c r="H4064">
        <v>140.5</v>
      </c>
      <c r="I4064">
        <v>145.1</v>
      </c>
      <c r="J4064">
        <v>100</v>
      </c>
      <c r="K4064">
        <v>100</v>
      </c>
      <c r="L4064" s="1" t="s">
        <v>9489</v>
      </c>
      <c r="M4064" t="s">
        <v>9491</v>
      </c>
      <c r="N4064">
        <v>4</v>
      </c>
    </row>
    <row r="4065" spans="1:14" x14ac:dyDescent="0.25">
      <c r="A4065" s="3" t="str">
        <f>HYPERLINK("http://www.ncbi.nlm.nih.gov/gene/30009","30009")</f>
        <v>30009</v>
      </c>
      <c r="B4065" s="1" t="s">
        <v>9492</v>
      </c>
      <c r="C4065" t="s">
        <v>9493</v>
      </c>
      <c r="D4065">
        <v>127.5</v>
      </c>
      <c r="E4065">
        <v>108.2</v>
      </c>
      <c r="F4065">
        <v>95.4</v>
      </c>
      <c r="G4065">
        <v>86.6</v>
      </c>
      <c r="H4065">
        <v>123.3</v>
      </c>
      <c r="I4065">
        <v>122.9</v>
      </c>
      <c r="J4065">
        <v>100</v>
      </c>
      <c r="K4065">
        <v>100</v>
      </c>
      <c r="L4065" s="1" t="s">
        <v>9492</v>
      </c>
      <c r="M4065" t="s">
        <v>502</v>
      </c>
      <c r="N4065">
        <v>2</v>
      </c>
    </row>
    <row r="4066" spans="1:14" x14ac:dyDescent="0.25">
      <c r="A4066" s="3" t="str">
        <f>HYPERLINK("http://www.ncbi.nlm.nih.gov/gene/50945","50945")</f>
        <v>50945</v>
      </c>
      <c r="B4066" s="1" t="s">
        <v>9494</v>
      </c>
      <c r="C4066" t="s">
        <v>9495</v>
      </c>
      <c r="D4066">
        <v>131.6</v>
      </c>
      <c r="E4066">
        <v>142.6</v>
      </c>
      <c r="F4066">
        <v>99.2</v>
      </c>
      <c r="G4066">
        <v>95.7</v>
      </c>
      <c r="H4066">
        <v>158.30000000000001</v>
      </c>
      <c r="I4066">
        <v>160.6</v>
      </c>
      <c r="J4066">
        <v>100</v>
      </c>
      <c r="K4066">
        <v>100</v>
      </c>
      <c r="L4066" s="1" t="s">
        <v>9494</v>
      </c>
      <c r="M4066" t="s">
        <v>9496</v>
      </c>
      <c r="N4066">
        <v>3</v>
      </c>
    </row>
    <row r="4067" spans="1:14" x14ac:dyDescent="0.25">
      <c r="A4067" s="3" t="str">
        <f>HYPERLINK("http://www.ncbi.nlm.nih.gov/gene/6926","6926")</f>
        <v>6926</v>
      </c>
      <c r="B4067" s="1" t="s">
        <v>9497</v>
      </c>
      <c r="C4067" t="s">
        <v>9498</v>
      </c>
      <c r="D4067">
        <v>110.7</v>
      </c>
      <c r="E4067">
        <v>105.8</v>
      </c>
      <c r="F4067">
        <v>99.2</v>
      </c>
      <c r="G4067">
        <v>96.8</v>
      </c>
      <c r="H4067">
        <v>164.5</v>
      </c>
      <c r="I4067">
        <v>167.6</v>
      </c>
      <c r="J4067">
        <v>100</v>
      </c>
      <c r="K4067">
        <v>100</v>
      </c>
      <c r="L4067" s="1" t="s">
        <v>9497</v>
      </c>
      <c r="M4067" t="s">
        <v>9499</v>
      </c>
      <c r="N4067">
        <v>4</v>
      </c>
    </row>
    <row r="4068" spans="1:14" x14ac:dyDescent="0.25">
      <c r="A4068" s="3" t="str">
        <f>HYPERLINK("http://www.ncbi.nlm.nih.gov/gene/9496","9496")</f>
        <v>9496</v>
      </c>
      <c r="B4068" s="1" t="s">
        <v>9500</v>
      </c>
      <c r="C4068" t="s">
        <v>9501</v>
      </c>
      <c r="D4068">
        <v>206.3</v>
      </c>
      <c r="E4068">
        <v>220.5</v>
      </c>
      <c r="F4068">
        <v>97.6</v>
      </c>
      <c r="G4068">
        <v>95.1</v>
      </c>
      <c r="H4068">
        <v>151.19999999999999</v>
      </c>
      <c r="I4068">
        <v>156.30000000000001</v>
      </c>
      <c r="J4068">
        <v>100</v>
      </c>
      <c r="K4068">
        <v>100</v>
      </c>
      <c r="L4068" s="1" t="s">
        <v>9500</v>
      </c>
      <c r="M4068" t="s">
        <v>1253</v>
      </c>
      <c r="N4068">
        <v>2</v>
      </c>
    </row>
    <row r="4069" spans="1:14" x14ac:dyDescent="0.25">
      <c r="A4069" s="3" t="str">
        <f>HYPERLINK("http://www.ncbi.nlm.nih.gov/gene/6910","6910")</f>
        <v>6910</v>
      </c>
      <c r="B4069" s="1" t="s">
        <v>9502</v>
      </c>
      <c r="C4069" t="s">
        <v>9503</v>
      </c>
      <c r="D4069">
        <v>136.1</v>
      </c>
      <c r="E4069">
        <v>141.69999999999999</v>
      </c>
      <c r="F4069">
        <v>100</v>
      </c>
      <c r="G4069">
        <v>100</v>
      </c>
      <c r="H4069">
        <v>140.6</v>
      </c>
      <c r="I4069">
        <v>145.4</v>
      </c>
      <c r="J4069">
        <v>100</v>
      </c>
      <c r="K4069">
        <v>100</v>
      </c>
      <c r="L4069" s="1" t="s">
        <v>9502</v>
      </c>
      <c r="M4069" t="s">
        <v>9384</v>
      </c>
      <c r="N4069">
        <v>4</v>
      </c>
    </row>
    <row r="4070" spans="1:14" x14ac:dyDescent="0.25">
      <c r="A4070" s="3" t="str">
        <f>HYPERLINK("http://www.ncbi.nlm.nih.gov/gene/6911","6911")</f>
        <v>6911</v>
      </c>
      <c r="B4070" s="1" t="s">
        <v>9504</v>
      </c>
      <c r="C4070" t="s">
        <v>9505</v>
      </c>
      <c r="D4070">
        <v>130.5</v>
      </c>
      <c r="E4070">
        <v>129.5</v>
      </c>
      <c r="F4070">
        <v>99.5</v>
      </c>
      <c r="G4070">
        <v>95.5</v>
      </c>
      <c r="H4070">
        <v>149.1</v>
      </c>
      <c r="I4070">
        <v>152.80000000000001</v>
      </c>
      <c r="J4070">
        <v>100</v>
      </c>
      <c r="K4070">
        <v>100</v>
      </c>
      <c r="L4070" s="1" t="s">
        <v>9504</v>
      </c>
      <c r="M4070" t="s">
        <v>134</v>
      </c>
      <c r="N4070">
        <v>3</v>
      </c>
    </row>
    <row r="4071" spans="1:14" x14ac:dyDescent="0.25">
      <c r="A4071" s="3" t="str">
        <f>HYPERLINK("http://www.ncbi.nlm.nih.gov/gene/6915","6915")</f>
        <v>6915</v>
      </c>
      <c r="B4071" s="1" t="s">
        <v>9506</v>
      </c>
      <c r="C4071" t="s">
        <v>9507</v>
      </c>
      <c r="D4071">
        <v>100.5</v>
      </c>
      <c r="E4071">
        <v>102.6</v>
      </c>
      <c r="F4071">
        <v>97.6</v>
      </c>
      <c r="G4071">
        <v>93.8</v>
      </c>
      <c r="H4071">
        <v>135.69999999999999</v>
      </c>
      <c r="I4071">
        <v>136.5</v>
      </c>
      <c r="J4071">
        <v>99.8</v>
      </c>
      <c r="K4071">
        <v>98</v>
      </c>
      <c r="L4071" s="1" t="s">
        <v>9506</v>
      </c>
      <c r="M4071" t="s">
        <v>16</v>
      </c>
      <c r="N4071">
        <v>2</v>
      </c>
    </row>
    <row r="4072" spans="1:14" x14ac:dyDescent="0.25">
      <c r="A4072" s="3" t="str">
        <f>HYPERLINK("http://www.ncbi.nlm.nih.gov/gene/6916","6916")</f>
        <v>6916</v>
      </c>
      <c r="B4072" s="1" t="s">
        <v>9508</v>
      </c>
      <c r="C4072" t="s">
        <v>9509</v>
      </c>
      <c r="D4072">
        <v>147.5</v>
      </c>
      <c r="E4072">
        <v>151.1</v>
      </c>
      <c r="F4072">
        <v>100</v>
      </c>
      <c r="G4072">
        <v>100</v>
      </c>
      <c r="H4072">
        <v>138</v>
      </c>
      <c r="I4072">
        <v>141.80000000000001</v>
      </c>
      <c r="J4072">
        <v>100</v>
      </c>
      <c r="K4072">
        <v>100</v>
      </c>
      <c r="L4072" s="1" t="s">
        <v>9508</v>
      </c>
      <c r="M4072" t="s">
        <v>9510</v>
      </c>
      <c r="N4072">
        <v>6</v>
      </c>
    </row>
    <row r="4073" spans="1:14" x14ac:dyDescent="0.25">
      <c r="A4073" s="3" t="str">
        <f>HYPERLINK("http://www.ncbi.nlm.nih.gov/gene/6862","6862")</f>
        <v>6862</v>
      </c>
      <c r="B4073" s="1" t="s">
        <v>9511</v>
      </c>
      <c r="C4073" t="s">
        <v>9512</v>
      </c>
      <c r="D4073">
        <v>127</v>
      </c>
      <c r="E4073">
        <v>138.6</v>
      </c>
      <c r="F4073">
        <v>99.4</v>
      </c>
      <c r="G4073">
        <v>96.9</v>
      </c>
      <c r="H4073">
        <v>168</v>
      </c>
      <c r="I4073">
        <v>174.1</v>
      </c>
      <c r="J4073">
        <v>100</v>
      </c>
      <c r="K4073">
        <v>100</v>
      </c>
      <c r="L4073" s="1" t="s">
        <v>9511</v>
      </c>
      <c r="M4073" t="s">
        <v>53</v>
      </c>
      <c r="N4073">
        <v>2</v>
      </c>
    </row>
    <row r="4074" spans="1:14" x14ac:dyDescent="0.25">
      <c r="A4074" s="3" t="str">
        <f>HYPERLINK("http://www.ncbi.nlm.nih.gov/gene/8557","8557")</f>
        <v>8557</v>
      </c>
      <c r="B4074" s="1" t="s">
        <v>9513</v>
      </c>
      <c r="C4074" t="s">
        <v>9514</v>
      </c>
      <c r="D4074">
        <v>88.6</v>
      </c>
      <c r="E4074">
        <v>88.8</v>
      </c>
      <c r="F4074">
        <v>100</v>
      </c>
      <c r="G4074">
        <v>100</v>
      </c>
      <c r="H4074">
        <v>184.6</v>
      </c>
      <c r="I4074">
        <v>190.2</v>
      </c>
      <c r="J4074">
        <v>100</v>
      </c>
      <c r="K4074">
        <v>100</v>
      </c>
      <c r="L4074" s="1" t="s">
        <v>9513</v>
      </c>
      <c r="M4074" t="s">
        <v>9515</v>
      </c>
      <c r="N4074">
        <v>4</v>
      </c>
    </row>
    <row r="4075" spans="1:14" x14ac:dyDescent="0.25">
      <c r="A4075" s="3" t="str">
        <f>HYPERLINK("http://www.ncbi.nlm.nih.gov/gene/6938","6938")</f>
        <v>6938</v>
      </c>
      <c r="B4075" s="1" t="s">
        <v>9516</v>
      </c>
      <c r="C4075" t="s">
        <v>9517</v>
      </c>
      <c r="D4075">
        <v>152.1</v>
      </c>
      <c r="E4075">
        <v>155.4</v>
      </c>
      <c r="F4075">
        <v>100</v>
      </c>
      <c r="G4075">
        <v>99.9</v>
      </c>
      <c r="H4075">
        <v>131.4</v>
      </c>
      <c r="I4075">
        <v>134.6</v>
      </c>
      <c r="J4075">
        <v>100</v>
      </c>
      <c r="K4075">
        <v>100</v>
      </c>
      <c r="L4075" s="1" t="s">
        <v>9516</v>
      </c>
      <c r="M4075" t="s">
        <v>9518</v>
      </c>
      <c r="N4075">
        <v>5</v>
      </c>
    </row>
    <row r="4076" spans="1:14" x14ac:dyDescent="0.25">
      <c r="A4076" s="3" t="str">
        <f>HYPERLINK("http://www.ncbi.nlm.nih.gov/gene/6942","6942")</f>
        <v>6942</v>
      </c>
      <c r="B4076" s="1" t="s">
        <v>9519</v>
      </c>
      <c r="C4076" t="s">
        <v>9520</v>
      </c>
      <c r="D4076">
        <v>155.5</v>
      </c>
      <c r="E4076">
        <v>152.69999999999999</v>
      </c>
      <c r="F4076">
        <v>100</v>
      </c>
      <c r="G4076">
        <v>100</v>
      </c>
      <c r="H4076">
        <v>246.9</v>
      </c>
      <c r="I4076">
        <v>249.4</v>
      </c>
      <c r="J4076">
        <v>100</v>
      </c>
      <c r="K4076">
        <v>100</v>
      </c>
      <c r="L4076" s="1" t="s">
        <v>9519</v>
      </c>
      <c r="M4076" t="s">
        <v>189</v>
      </c>
      <c r="N4076">
        <v>2</v>
      </c>
    </row>
    <row r="4077" spans="1:14" x14ac:dyDescent="0.25">
      <c r="A4077" s="3" t="str">
        <f>HYPERLINK("http://www.ncbi.nlm.nih.gov/gene/6929","6929")</f>
        <v>6929</v>
      </c>
      <c r="B4077" s="1" t="s">
        <v>9521</v>
      </c>
      <c r="C4077" t="s">
        <v>9522</v>
      </c>
      <c r="D4077">
        <v>98.6</v>
      </c>
      <c r="E4077">
        <v>96.2</v>
      </c>
      <c r="F4077">
        <v>97.1</v>
      </c>
      <c r="G4077">
        <v>94</v>
      </c>
      <c r="H4077">
        <v>152.80000000000001</v>
      </c>
      <c r="I4077">
        <v>155.69999999999999</v>
      </c>
      <c r="J4077">
        <v>100</v>
      </c>
      <c r="K4077">
        <v>100</v>
      </c>
      <c r="L4077" s="1" t="s">
        <v>9521</v>
      </c>
      <c r="M4077" t="s">
        <v>7216</v>
      </c>
      <c r="N4077">
        <v>2</v>
      </c>
    </row>
    <row r="4078" spans="1:14" x14ac:dyDescent="0.25">
      <c r="A4078" s="3" t="str">
        <f>HYPERLINK("http://www.ncbi.nlm.nih.gov/gene/6925","6925")</f>
        <v>6925</v>
      </c>
      <c r="B4078" s="1" t="s">
        <v>9523</v>
      </c>
      <c r="C4078" t="s">
        <v>9524</v>
      </c>
      <c r="D4078">
        <v>128.4</v>
      </c>
      <c r="E4078">
        <v>132.5</v>
      </c>
      <c r="F4078">
        <v>100</v>
      </c>
      <c r="G4078">
        <v>99.8</v>
      </c>
      <c r="H4078">
        <v>144.19999999999999</v>
      </c>
      <c r="I4078">
        <v>148</v>
      </c>
      <c r="J4078">
        <v>100</v>
      </c>
      <c r="K4078">
        <v>100</v>
      </c>
      <c r="L4078" s="1" t="s">
        <v>9523</v>
      </c>
      <c r="M4078" t="s">
        <v>9525</v>
      </c>
      <c r="N4078">
        <v>4</v>
      </c>
    </row>
    <row r="4079" spans="1:14" x14ac:dyDescent="0.25">
      <c r="A4079" s="3" t="str">
        <f>HYPERLINK("http://www.ncbi.nlm.nih.gov/gene/6934","6934")</f>
        <v>6934</v>
      </c>
      <c r="B4079" s="1" t="s">
        <v>9526</v>
      </c>
      <c r="C4079" t="s">
        <v>9527</v>
      </c>
      <c r="D4079">
        <v>175.6</v>
      </c>
      <c r="E4079">
        <v>178.7</v>
      </c>
      <c r="F4079">
        <v>99.9</v>
      </c>
      <c r="G4079">
        <v>98.8</v>
      </c>
      <c r="H4079">
        <v>147</v>
      </c>
      <c r="I4079">
        <v>151.9</v>
      </c>
      <c r="J4079">
        <v>100</v>
      </c>
      <c r="K4079">
        <v>100</v>
      </c>
      <c r="L4079" s="1" t="s">
        <v>9526</v>
      </c>
      <c r="M4079" t="s">
        <v>189</v>
      </c>
      <c r="N4079">
        <v>2</v>
      </c>
    </row>
    <row r="4080" spans="1:14" x14ac:dyDescent="0.25">
      <c r="A4080" s="3" t="str">
        <f>HYPERLINK("http://www.ncbi.nlm.nih.gov/gene/7062","7062")</f>
        <v>7062</v>
      </c>
      <c r="B4080" s="1" t="s">
        <v>9528</v>
      </c>
      <c r="C4080" t="s">
        <v>9529</v>
      </c>
      <c r="D4080">
        <v>144.5</v>
      </c>
      <c r="E4080">
        <v>143</v>
      </c>
      <c r="F4080">
        <v>100</v>
      </c>
      <c r="G4080">
        <v>98.8</v>
      </c>
      <c r="H4080">
        <v>225.5</v>
      </c>
      <c r="I4080">
        <v>231.2</v>
      </c>
      <c r="J4080">
        <v>100</v>
      </c>
      <c r="K4080">
        <v>100</v>
      </c>
      <c r="L4080" s="1" t="s">
        <v>9528</v>
      </c>
      <c r="M4080" t="s">
        <v>47</v>
      </c>
      <c r="N4080">
        <v>2</v>
      </c>
    </row>
    <row r="4081" spans="1:14" x14ac:dyDescent="0.25">
      <c r="A4081" s="3" t="str">
        <f>HYPERLINK("http://www.ncbi.nlm.nih.gov/gene/10312","10312")</f>
        <v>10312</v>
      </c>
      <c r="B4081" s="1" t="s">
        <v>9530</v>
      </c>
      <c r="C4081" t="s">
        <v>9531</v>
      </c>
      <c r="D4081">
        <v>112.9</v>
      </c>
      <c r="E4081">
        <v>116.3</v>
      </c>
      <c r="F4081">
        <v>97.6</v>
      </c>
      <c r="G4081">
        <v>90.1</v>
      </c>
      <c r="H4081">
        <v>148.9</v>
      </c>
      <c r="I4081">
        <v>152.5</v>
      </c>
      <c r="J4081">
        <v>100</v>
      </c>
      <c r="K4081">
        <v>100</v>
      </c>
      <c r="L4081" s="1" t="s">
        <v>9530</v>
      </c>
      <c r="M4081" t="s">
        <v>9532</v>
      </c>
      <c r="N4081">
        <v>7</v>
      </c>
    </row>
    <row r="4082" spans="1:14" x14ac:dyDescent="0.25">
      <c r="A4082" s="3" t="str">
        <f>HYPERLINK("http://www.ncbi.nlm.nih.gov/gene/6948","6948")</f>
        <v>6948</v>
      </c>
      <c r="B4082" s="1" t="s">
        <v>9533</v>
      </c>
      <c r="C4082" t="s">
        <v>9534</v>
      </c>
      <c r="D4082">
        <v>169.5</v>
      </c>
      <c r="E4082">
        <v>178.3</v>
      </c>
      <c r="F4082">
        <v>100</v>
      </c>
      <c r="G4082">
        <v>100</v>
      </c>
      <c r="H4082">
        <v>137.19999999999999</v>
      </c>
      <c r="I4082">
        <v>141.1</v>
      </c>
      <c r="J4082">
        <v>100</v>
      </c>
      <c r="K4082">
        <v>100</v>
      </c>
      <c r="L4082" s="1" t="s">
        <v>9533</v>
      </c>
      <c r="M4082" t="s">
        <v>2853</v>
      </c>
      <c r="N4082">
        <v>5</v>
      </c>
    </row>
    <row r="4083" spans="1:14" x14ac:dyDescent="0.25">
      <c r="A4083" s="3" t="str">
        <f>HYPERLINK("http://www.ncbi.nlm.nih.gov/gene/6949","6949")</f>
        <v>6949</v>
      </c>
      <c r="B4083" s="1" t="s">
        <v>9535</v>
      </c>
      <c r="C4083" t="s">
        <v>9536</v>
      </c>
      <c r="D4083">
        <v>119.5</v>
      </c>
      <c r="E4083">
        <v>123.4</v>
      </c>
      <c r="F4083">
        <v>99.7</v>
      </c>
      <c r="G4083">
        <v>98.6</v>
      </c>
      <c r="H4083">
        <v>123.1</v>
      </c>
      <c r="I4083">
        <v>126.7</v>
      </c>
      <c r="J4083">
        <v>100</v>
      </c>
      <c r="K4083">
        <v>100</v>
      </c>
      <c r="L4083" s="1" t="s">
        <v>9535</v>
      </c>
      <c r="M4083" t="s">
        <v>9537</v>
      </c>
      <c r="N4083">
        <v>5</v>
      </c>
    </row>
    <row r="4084" spans="1:14" x14ac:dyDescent="0.25">
      <c r="A4084" s="3" t="str">
        <f>HYPERLINK("http://www.ncbi.nlm.nih.gov/gene/79600","79600")</f>
        <v>79600</v>
      </c>
      <c r="B4084" s="1" t="s">
        <v>9538</v>
      </c>
      <c r="C4084" t="s">
        <v>9539</v>
      </c>
      <c r="D4084">
        <v>111.7</v>
      </c>
      <c r="E4084">
        <v>114.9</v>
      </c>
      <c r="F4084">
        <v>96.7</v>
      </c>
      <c r="G4084">
        <v>93</v>
      </c>
      <c r="H4084">
        <v>133.80000000000001</v>
      </c>
      <c r="I4084">
        <v>137</v>
      </c>
      <c r="J4084">
        <v>94.7</v>
      </c>
      <c r="K4084">
        <v>94.7</v>
      </c>
      <c r="L4084" s="1" t="s">
        <v>9538</v>
      </c>
      <c r="M4084" t="s">
        <v>1063</v>
      </c>
      <c r="N4084">
        <v>5</v>
      </c>
    </row>
    <row r="4085" spans="1:14" x14ac:dyDescent="0.25">
      <c r="A4085" s="3" t="str">
        <f>HYPERLINK("http://www.ncbi.nlm.nih.gov/gene/79867","79867")</f>
        <v>79867</v>
      </c>
      <c r="B4085" s="1" t="s">
        <v>9540</v>
      </c>
      <c r="C4085" t="s">
        <v>9541</v>
      </c>
      <c r="D4085">
        <v>144.5</v>
      </c>
      <c r="E4085">
        <v>149.19999999999999</v>
      </c>
      <c r="F4085">
        <v>100</v>
      </c>
      <c r="G4085">
        <v>99.5</v>
      </c>
      <c r="H4085">
        <v>126.4</v>
      </c>
      <c r="I4085">
        <v>129.69999999999999</v>
      </c>
      <c r="J4085">
        <v>100</v>
      </c>
      <c r="K4085">
        <v>100</v>
      </c>
      <c r="L4085" s="1" t="s">
        <v>9540</v>
      </c>
      <c r="M4085" t="s">
        <v>9542</v>
      </c>
      <c r="N4085">
        <v>6</v>
      </c>
    </row>
    <row r="4086" spans="1:14" x14ac:dyDescent="0.25">
      <c r="A4086" s="3" t="str">
        <f>HYPERLINK("http://www.ncbi.nlm.nih.gov/gene/26123","26123")</f>
        <v>26123</v>
      </c>
      <c r="B4086" s="1" t="s">
        <v>9543</v>
      </c>
      <c r="C4086" t="s">
        <v>9544</v>
      </c>
      <c r="D4086">
        <v>129.30000000000001</v>
      </c>
      <c r="E4086">
        <v>136.4</v>
      </c>
      <c r="F4086">
        <v>100</v>
      </c>
      <c r="G4086">
        <v>100</v>
      </c>
      <c r="H4086">
        <v>133.69999999999999</v>
      </c>
      <c r="I4086">
        <v>137</v>
      </c>
      <c r="J4086">
        <v>100</v>
      </c>
      <c r="K4086">
        <v>100</v>
      </c>
      <c r="L4086" s="1" t="s">
        <v>9543</v>
      </c>
      <c r="M4086" t="s">
        <v>9545</v>
      </c>
      <c r="N4086">
        <v>9</v>
      </c>
    </row>
    <row r="4087" spans="1:14" x14ac:dyDescent="0.25">
      <c r="A4087" s="3" t="str">
        <f>HYPERLINK("http://www.ncbi.nlm.nih.gov/gene/6997","6997")</f>
        <v>6997</v>
      </c>
      <c r="B4087" s="1" t="s">
        <v>9546</v>
      </c>
      <c r="C4087" t="s">
        <v>9547</v>
      </c>
      <c r="D4087">
        <v>158.9</v>
      </c>
      <c r="E4087">
        <v>157.69999999999999</v>
      </c>
      <c r="F4087">
        <v>99.9</v>
      </c>
      <c r="G4087">
        <v>96.7</v>
      </c>
      <c r="H4087">
        <v>156.9</v>
      </c>
      <c r="I4087">
        <v>160.1</v>
      </c>
      <c r="J4087">
        <v>100</v>
      </c>
      <c r="K4087">
        <v>100</v>
      </c>
      <c r="L4087" s="1" t="s">
        <v>9546</v>
      </c>
      <c r="M4087" t="s">
        <v>9548</v>
      </c>
      <c r="N4087">
        <v>3</v>
      </c>
    </row>
    <row r="4088" spans="1:14" x14ac:dyDescent="0.25">
      <c r="A4088" s="3" t="str">
        <f>HYPERLINK("http://www.ncbi.nlm.nih.gov/gene/55775","55775")</f>
        <v>55775</v>
      </c>
      <c r="B4088" s="1" t="s">
        <v>9549</v>
      </c>
      <c r="D4088">
        <v>119.9</v>
      </c>
      <c r="E4088">
        <v>123.5</v>
      </c>
      <c r="F4088">
        <v>99.9</v>
      </c>
      <c r="G4088">
        <v>99.5</v>
      </c>
      <c r="H4088">
        <v>140.80000000000001</v>
      </c>
      <c r="I4088">
        <v>143.30000000000001</v>
      </c>
      <c r="J4088">
        <v>100</v>
      </c>
      <c r="K4088">
        <v>100</v>
      </c>
      <c r="L4088" s="1" t="s">
        <v>9549</v>
      </c>
      <c r="M4088" t="s">
        <v>1541</v>
      </c>
      <c r="N4088">
        <v>4</v>
      </c>
    </row>
    <row r="4089" spans="1:14" x14ac:dyDescent="0.25">
      <c r="A4089" s="3" t="str">
        <f>HYPERLINK("http://www.ncbi.nlm.nih.gov/gene/51567","51567")</f>
        <v>51567</v>
      </c>
      <c r="B4089" s="1" t="s">
        <v>9550</v>
      </c>
      <c r="C4089" t="s">
        <v>9551</v>
      </c>
      <c r="D4089">
        <v>190.5</v>
      </c>
      <c r="E4089">
        <v>198.6</v>
      </c>
      <c r="F4089">
        <v>100</v>
      </c>
      <c r="G4089">
        <v>99.4</v>
      </c>
      <c r="H4089">
        <v>146.6</v>
      </c>
      <c r="I4089">
        <v>151.30000000000001</v>
      </c>
      <c r="J4089">
        <v>100</v>
      </c>
      <c r="K4089">
        <v>100</v>
      </c>
      <c r="L4089" s="1" t="s">
        <v>9550</v>
      </c>
      <c r="M4089" t="s">
        <v>3419</v>
      </c>
      <c r="N4089">
        <v>6</v>
      </c>
    </row>
    <row r="4090" spans="1:14" x14ac:dyDescent="0.25">
      <c r="A4090" s="3" t="str">
        <f>HYPERLINK("http://www.ncbi.nlm.nih.gov/gene/23424","23424")</f>
        <v>23424</v>
      </c>
      <c r="B4090" s="1" t="s">
        <v>9552</v>
      </c>
      <c r="C4090" t="s">
        <v>9553</v>
      </c>
      <c r="D4090">
        <v>160.4</v>
      </c>
      <c r="E4090">
        <v>162.30000000000001</v>
      </c>
      <c r="F4090">
        <v>99.9</v>
      </c>
      <c r="G4090">
        <v>99.1</v>
      </c>
      <c r="H4090">
        <v>138.5</v>
      </c>
      <c r="I4090">
        <v>141.69999999999999</v>
      </c>
      <c r="J4090">
        <v>100</v>
      </c>
      <c r="K4090">
        <v>100</v>
      </c>
      <c r="L4090" s="1" t="s">
        <v>9552</v>
      </c>
      <c r="M4090" t="s">
        <v>56</v>
      </c>
      <c r="N4090">
        <v>3</v>
      </c>
    </row>
    <row r="4091" spans="1:14" x14ac:dyDescent="0.25">
      <c r="A4091" s="3" t="str">
        <f>HYPERLINK("http://www.ncbi.nlm.nih.gov/gene/122402","122402")</f>
        <v>122402</v>
      </c>
      <c r="B4091" s="1" t="s">
        <v>9554</v>
      </c>
      <c r="C4091" t="s">
        <v>9555</v>
      </c>
      <c r="D4091">
        <v>126.3</v>
      </c>
      <c r="E4091">
        <v>130.5</v>
      </c>
      <c r="F4091">
        <v>99.3</v>
      </c>
      <c r="G4091">
        <v>98.2</v>
      </c>
      <c r="H4091">
        <v>125.3</v>
      </c>
      <c r="I4091">
        <v>128.80000000000001</v>
      </c>
      <c r="J4091">
        <v>100</v>
      </c>
      <c r="K4091">
        <v>99.9</v>
      </c>
      <c r="L4091" s="1" t="s">
        <v>9554</v>
      </c>
      <c r="M4091" t="s">
        <v>59</v>
      </c>
      <c r="N4091">
        <v>1</v>
      </c>
    </row>
    <row r="4092" spans="1:14" x14ac:dyDescent="0.25">
      <c r="A4092" s="3" t="str">
        <f>HYPERLINK("http://www.ncbi.nlm.nih.gov/gene/11022","11022")</f>
        <v>11022</v>
      </c>
      <c r="B4092" s="1" t="s">
        <v>9556</v>
      </c>
      <c r="C4092" t="s">
        <v>9557</v>
      </c>
      <c r="D4092">
        <v>108.8</v>
      </c>
      <c r="E4092">
        <v>107.2</v>
      </c>
      <c r="F4092">
        <v>94.7</v>
      </c>
      <c r="G4092">
        <v>94.7</v>
      </c>
      <c r="H4092">
        <v>136.1</v>
      </c>
      <c r="I4092">
        <v>138.9</v>
      </c>
      <c r="J4092">
        <v>100</v>
      </c>
      <c r="K4092">
        <v>100</v>
      </c>
      <c r="L4092" s="1" t="s">
        <v>9556</v>
      </c>
      <c r="M4092" t="s">
        <v>718</v>
      </c>
      <c r="N4092">
        <v>2</v>
      </c>
    </row>
    <row r="4093" spans="1:14" x14ac:dyDescent="0.25">
      <c r="A4093" s="3" t="str">
        <f>HYPERLINK("http://www.ncbi.nlm.nih.gov/gene/7003","7003")</f>
        <v>7003</v>
      </c>
      <c r="B4093" s="1" t="s">
        <v>9558</v>
      </c>
      <c r="C4093" t="s">
        <v>9559</v>
      </c>
      <c r="D4093">
        <v>152.69999999999999</v>
      </c>
      <c r="E4093">
        <v>157.5</v>
      </c>
      <c r="F4093">
        <v>100</v>
      </c>
      <c r="G4093">
        <v>99.9</v>
      </c>
      <c r="H4093">
        <v>146.19999999999999</v>
      </c>
      <c r="I4093">
        <v>151.19999999999999</v>
      </c>
      <c r="J4093">
        <v>100</v>
      </c>
      <c r="K4093">
        <v>100</v>
      </c>
      <c r="L4093" s="1" t="s">
        <v>9558</v>
      </c>
      <c r="M4093" t="s">
        <v>302</v>
      </c>
      <c r="N4093">
        <v>2</v>
      </c>
    </row>
    <row r="4094" spans="1:14" x14ac:dyDescent="0.25">
      <c r="A4094" s="3" t="str">
        <f>HYPERLINK("http://www.ncbi.nlm.nih.gov/gene/9895","9895")</f>
        <v>9895</v>
      </c>
      <c r="B4094" s="1" t="s">
        <v>9560</v>
      </c>
      <c r="C4094" t="s">
        <v>9561</v>
      </c>
      <c r="D4094">
        <v>146.9</v>
      </c>
      <c r="E4094">
        <v>151.5</v>
      </c>
      <c r="F4094">
        <v>100</v>
      </c>
      <c r="G4094">
        <v>100</v>
      </c>
      <c r="H4094">
        <v>135.9</v>
      </c>
      <c r="I4094">
        <v>140</v>
      </c>
      <c r="J4094">
        <v>100</v>
      </c>
      <c r="K4094">
        <v>100</v>
      </c>
      <c r="L4094" s="1" t="s">
        <v>9560</v>
      </c>
      <c r="M4094" t="s">
        <v>288</v>
      </c>
      <c r="N4094">
        <v>4</v>
      </c>
    </row>
    <row r="4095" spans="1:14" x14ac:dyDescent="0.25">
      <c r="A4095" s="3" t="str">
        <f>HYPERLINK("http://www.ncbi.nlm.nih.gov/gene/9524","9524")</f>
        <v>9524</v>
      </c>
      <c r="B4095" s="1" t="s">
        <v>9562</v>
      </c>
      <c r="C4095" t="s">
        <v>9563</v>
      </c>
      <c r="D4095">
        <v>123</v>
      </c>
      <c r="E4095">
        <v>124.1</v>
      </c>
      <c r="F4095">
        <v>100</v>
      </c>
      <c r="G4095">
        <v>99</v>
      </c>
      <c r="H4095">
        <v>140.5</v>
      </c>
      <c r="I4095">
        <v>142.6</v>
      </c>
      <c r="J4095">
        <v>100</v>
      </c>
      <c r="K4095">
        <v>100</v>
      </c>
      <c r="L4095" s="1" t="s">
        <v>9562</v>
      </c>
      <c r="M4095" t="s">
        <v>38</v>
      </c>
      <c r="N4095">
        <v>4</v>
      </c>
    </row>
    <row r="4096" spans="1:14" x14ac:dyDescent="0.25">
      <c r="A4096" s="3" t="str">
        <f>HYPERLINK("http://www.ncbi.nlm.nih.gov/gene/253017","253017")</f>
        <v>253017</v>
      </c>
      <c r="B4096" s="1" t="s">
        <v>9564</v>
      </c>
      <c r="C4096" t="s">
        <v>9565</v>
      </c>
      <c r="D4096">
        <v>88</v>
      </c>
      <c r="E4096">
        <v>91.2</v>
      </c>
      <c r="F4096">
        <v>96.3</v>
      </c>
      <c r="G4096">
        <v>89.3</v>
      </c>
      <c r="H4096">
        <v>110.5</v>
      </c>
      <c r="I4096">
        <v>113.1</v>
      </c>
      <c r="J4096">
        <v>100</v>
      </c>
      <c r="K4096">
        <v>100</v>
      </c>
      <c r="L4096" s="1" t="s">
        <v>9564</v>
      </c>
      <c r="M4096" t="s">
        <v>1264</v>
      </c>
      <c r="N4096">
        <v>3</v>
      </c>
    </row>
    <row r="4097" spans="1:14" x14ac:dyDescent="0.25">
      <c r="A4097" s="3" t="str">
        <f>HYPERLINK("http://www.ncbi.nlm.nih.gov/gene/7007","7007")</f>
        <v>7007</v>
      </c>
      <c r="B4097" s="1" t="s">
        <v>9566</v>
      </c>
      <c r="C4097" t="s">
        <v>9567</v>
      </c>
      <c r="D4097">
        <v>175.2</v>
      </c>
      <c r="E4097">
        <v>179.6</v>
      </c>
      <c r="F4097">
        <v>100</v>
      </c>
      <c r="G4097">
        <v>99.9</v>
      </c>
      <c r="H4097">
        <v>148.4</v>
      </c>
      <c r="I4097">
        <v>153.19999999999999</v>
      </c>
      <c r="J4097">
        <v>100</v>
      </c>
      <c r="K4097">
        <v>100</v>
      </c>
      <c r="L4097" s="1" t="s">
        <v>9566</v>
      </c>
      <c r="M4097" t="s">
        <v>3256</v>
      </c>
      <c r="N4097">
        <v>3</v>
      </c>
    </row>
    <row r="4098" spans="1:14" x14ac:dyDescent="0.25">
      <c r="A4098" s="3" t="str">
        <f>HYPERLINK("http://www.ncbi.nlm.nih.gov/gene/7010","7010")</f>
        <v>7010</v>
      </c>
      <c r="B4098" s="1" t="s">
        <v>9568</v>
      </c>
      <c r="C4098" t="s">
        <v>9569</v>
      </c>
      <c r="D4098">
        <v>183.6</v>
      </c>
      <c r="E4098">
        <v>191.8</v>
      </c>
      <c r="F4098">
        <v>100</v>
      </c>
      <c r="G4098">
        <v>100</v>
      </c>
      <c r="H4098">
        <v>131.69999999999999</v>
      </c>
      <c r="I4098">
        <v>134.80000000000001</v>
      </c>
      <c r="J4098">
        <v>100</v>
      </c>
      <c r="K4098">
        <v>100</v>
      </c>
      <c r="L4098" s="1" t="s">
        <v>9568</v>
      </c>
      <c r="M4098" t="s">
        <v>9570</v>
      </c>
      <c r="N4098">
        <v>3</v>
      </c>
    </row>
    <row r="4099" spans="1:14" x14ac:dyDescent="0.25">
      <c r="A4099" s="3" t="str">
        <f>HYPERLINK("http://www.ncbi.nlm.nih.gov/gene/9894","9894")</f>
        <v>9894</v>
      </c>
      <c r="B4099" s="1" t="s">
        <v>9571</v>
      </c>
      <c r="C4099" t="s">
        <v>9572</v>
      </c>
      <c r="D4099">
        <v>110.5</v>
      </c>
      <c r="E4099">
        <v>112.4</v>
      </c>
      <c r="F4099">
        <v>99.7</v>
      </c>
      <c r="G4099">
        <v>96.2</v>
      </c>
      <c r="H4099">
        <v>137.4</v>
      </c>
      <c r="I4099">
        <v>140.69999999999999</v>
      </c>
      <c r="J4099">
        <v>100</v>
      </c>
      <c r="K4099">
        <v>100</v>
      </c>
      <c r="L4099" s="1" t="s">
        <v>9571</v>
      </c>
      <c r="M4099" t="s">
        <v>228</v>
      </c>
      <c r="N4099">
        <v>3</v>
      </c>
    </row>
    <row r="4100" spans="1:14" x14ac:dyDescent="0.25">
      <c r="A4100" s="3" t="str">
        <f>HYPERLINK("http://www.ncbi.nlm.nih.gov/gene/55714","55714")</f>
        <v>55714</v>
      </c>
      <c r="B4100" s="1" t="s">
        <v>9573</v>
      </c>
      <c r="C4100" t="s">
        <v>9574</v>
      </c>
      <c r="D4100">
        <v>174.2</v>
      </c>
      <c r="E4100">
        <v>175.3</v>
      </c>
      <c r="F4100">
        <v>100</v>
      </c>
      <c r="G4100">
        <v>99.7</v>
      </c>
      <c r="H4100">
        <v>149.6</v>
      </c>
      <c r="I4100">
        <v>153.80000000000001</v>
      </c>
      <c r="J4100">
        <v>100</v>
      </c>
      <c r="K4100">
        <v>100</v>
      </c>
      <c r="L4100" s="1" t="s">
        <v>9573</v>
      </c>
      <c r="M4100" t="s">
        <v>1642</v>
      </c>
      <c r="N4100">
        <v>4</v>
      </c>
    </row>
    <row r="4101" spans="1:14" x14ac:dyDescent="0.25">
      <c r="A4101" s="3" t="str">
        <f>HYPERLINK("http://www.ncbi.nlm.nih.gov/gene/26011","26011")</f>
        <v>26011</v>
      </c>
      <c r="B4101" s="1" t="s">
        <v>9575</v>
      </c>
      <c r="C4101" t="s">
        <v>9576</v>
      </c>
      <c r="D4101">
        <v>124.9</v>
      </c>
      <c r="E4101">
        <v>128.30000000000001</v>
      </c>
      <c r="F4101">
        <v>100</v>
      </c>
      <c r="G4101">
        <v>99.6</v>
      </c>
      <c r="H4101">
        <v>155.5</v>
      </c>
      <c r="I4101">
        <v>160.30000000000001</v>
      </c>
      <c r="J4101">
        <v>100</v>
      </c>
      <c r="K4101">
        <v>100</v>
      </c>
      <c r="L4101" s="1" t="s">
        <v>9575</v>
      </c>
      <c r="M4101" t="s">
        <v>600</v>
      </c>
      <c r="N4101">
        <v>2</v>
      </c>
    </row>
    <row r="4102" spans="1:14" x14ac:dyDescent="0.25">
      <c r="A4102" s="3" t="str">
        <f>HYPERLINK("http://www.ncbi.nlm.nih.gov/gene/55603","55603")</f>
        <v>55603</v>
      </c>
      <c r="B4102" s="1" t="s">
        <v>9577</v>
      </c>
      <c r="C4102" t="s">
        <v>9578</v>
      </c>
      <c r="D4102">
        <v>168.8</v>
      </c>
      <c r="E4102">
        <v>176.8</v>
      </c>
      <c r="F4102">
        <v>100</v>
      </c>
      <c r="G4102">
        <v>99.7</v>
      </c>
      <c r="H4102">
        <v>161.69999999999999</v>
      </c>
      <c r="I4102">
        <v>161.30000000000001</v>
      </c>
      <c r="J4102">
        <v>100</v>
      </c>
      <c r="K4102">
        <v>100</v>
      </c>
      <c r="L4102" s="1" t="s">
        <v>9577</v>
      </c>
      <c r="M4102" t="s">
        <v>1168</v>
      </c>
      <c r="N4102">
        <v>3</v>
      </c>
    </row>
    <row r="4103" spans="1:14" x14ac:dyDescent="0.25">
      <c r="A4103" s="3" t="str">
        <f>HYPERLINK("http://www.ncbi.nlm.nih.gov/gene/7012","7012")</f>
        <v>7012</v>
      </c>
      <c r="B4103" s="1" t="s">
        <v>9579</v>
      </c>
      <c r="C4103" t="s">
        <v>9580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 s="1" t="s">
        <v>9579</v>
      </c>
      <c r="M4103" t="s">
        <v>9581</v>
      </c>
      <c r="N4103">
        <v>7</v>
      </c>
    </row>
    <row r="4104" spans="1:14" x14ac:dyDescent="0.25">
      <c r="A4104" s="3" t="str">
        <f>HYPERLINK("http://www.ncbi.nlm.nih.gov/gene/7013","7013")</f>
        <v>7013</v>
      </c>
      <c r="B4104" s="1" t="s">
        <v>9582</v>
      </c>
      <c r="C4104" t="s">
        <v>9583</v>
      </c>
      <c r="D4104">
        <v>26</v>
      </c>
      <c r="E4104">
        <v>23.9</v>
      </c>
      <c r="F4104">
        <v>66.400000000000006</v>
      </c>
      <c r="G4104">
        <v>46.5</v>
      </c>
      <c r="H4104">
        <v>123.2</v>
      </c>
      <c r="I4104">
        <v>127.1</v>
      </c>
      <c r="J4104">
        <v>100</v>
      </c>
      <c r="K4104">
        <v>100</v>
      </c>
      <c r="L4104" s="1" t="s">
        <v>9582</v>
      </c>
      <c r="M4104" t="s">
        <v>1462</v>
      </c>
      <c r="N4104">
        <v>2</v>
      </c>
    </row>
    <row r="4105" spans="1:14" x14ac:dyDescent="0.25">
      <c r="A4105" s="3" t="str">
        <f>HYPERLINK("http://www.ncbi.nlm.nih.gov/gene/7014","7014")</f>
        <v>7014</v>
      </c>
      <c r="B4105" s="1" t="s">
        <v>9584</v>
      </c>
      <c r="C4105" t="s">
        <v>9585</v>
      </c>
      <c r="D4105">
        <v>125.1</v>
      </c>
      <c r="E4105">
        <v>109.7</v>
      </c>
      <c r="F4105">
        <v>100</v>
      </c>
      <c r="G4105">
        <v>98</v>
      </c>
      <c r="H4105">
        <v>130.9</v>
      </c>
      <c r="I4105">
        <v>133</v>
      </c>
      <c r="J4105">
        <v>100</v>
      </c>
      <c r="K4105">
        <v>99.9</v>
      </c>
      <c r="L4105" s="1" t="s">
        <v>9584</v>
      </c>
      <c r="M4105" t="s">
        <v>1462</v>
      </c>
      <c r="N4105">
        <v>2</v>
      </c>
    </row>
    <row r="4106" spans="1:14" x14ac:dyDescent="0.25">
      <c r="A4106" s="3" t="str">
        <f>HYPERLINK("http://www.ncbi.nlm.nih.gov/gene/54386","54386")</f>
        <v>54386</v>
      </c>
      <c r="B4106" s="1" t="s">
        <v>9586</v>
      </c>
      <c r="C4106" t="s">
        <v>9587</v>
      </c>
      <c r="D4106">
        <v>113.5</v>
      </c>
      <c r="E4106">
        <v>112.6</v>
      </c>
      <c r="F4106">
        <v>99.9</v>
      </c>
      <c r="G4106">
        <v>97.8</v>
      </c>
      <c r="H4106">
        <v>118.9</v>
      </c>
      <c r="I4106">
        <v>120.2</v>
      </c>
      <c r="J4106">
        <v>83.7</v>
      </c>
      <c r="K4106">
        <v>83.7</v>
      </c>
      <c r="L4106" s="1" t="s">
        <v>9586</v>
      </c>
      <c r="M4106" t="s">
        <v>9588</v>
      </c>
      <c r="N4106">
        <v>5</v>
      </c>
    </row>
    <row r="4107" spans="1:14" x14ac:dyDescent="0.25">
      <c r="A4107" s="3" t="str">
        <f>HYPERLINK("http://www.ncbi.nlm.nih.gov/gene/7015","7015")</f>
        <v>7015</v>
      </c>
      <c r="B4107" s="1" t="s">
        <v>9589</v>
      </c>
      <c r="C4107" t="s">
        <v>9590</v>
      </c>
      <c r="D4107">
        <v>128.30000000000001</v>
      </c>
      <c r="E4107">
        <v>132.4</v>
      </c>
      <c r="F4107">
        <v>96.2</v>
      </c>
      <c r="G4107">
        <v>94.5</v>
      </c>
      <c r="H4107">
        <v>142.1</v>
      </c>
      <c r="I4107">
        <v>144.5</v>
      </c>
      <c r="J4107">
        <v>100</v>
      </c>
      <c r="K4107">
        <v>100</v>
      </c>
      <c r="L4107" s="1" t="s">
        <v>9589</v>
      </c>
      <c r="M4107" t="s">
        <v>9591</v>
      </c>
      <c r="N4107">
        <v>8</v>
      </c>
    </row>
    <row r="4108" spans="1:14" x14ac:dyDescent="0.25">
      <c r="A4108" s="3" t="str">
        <f>HYPERLINK("http://www.ncbi.nlm.nih.gov/gene/54790","54790")</f>
        <v>54790</v>
      </c>
      <c r="B4108" s="1" t="s">
        <v>9592</v>
      </c>
      <c r="C4108" t="s">
        <v>9593</v>
      </c>
      <c r="D4108">
        <v>205.1</v>
      </c>
      <c r="E4108">
        <v>201.7</v>
      </c>
      <c r="F4108">
        <v>100</v>
      </c>
      <c r="G4108">
        <v>100</v>
      </c>
      <c r="H4108">
        <v>146.9</v>
      </c>
      <c r="I4108">
        <v>147.30000000000001</v>
      </c>
      <c r="J4108">
        <v>100</v>
      </c>
      <c r="K4108">
        <v>100</v>
      </c>
      <c r="L4108" s="1" t="s">
        <v>9592</v>
      </c>
      <c r="M4108" t="s">
        <v>9594</v>
      </c>
      <c r="N4108">
        <v>3</v>
      </c>
    </row>
    <row r="4109" spans="1:14" x14ac:dyDescent="0.25">
      <c r="A4109" s="3" t="str">
        <f>HYPERLINK("http://www.ncbi.nlm.nih.gov/gene/200424","200424")</f>
        <v>200424</v>
      </c>
      <c r="B4109" s="1" t="s">
        <v>9595</v>
      </c>
      <c r="C4109" t="s">
        <v>9596</v>
      </c>
      <c r="D4109">
        <v>170.5</v>
      </c>
      <c r="E4109">
        <v>171.3</v>
      </c>
      <c r="F4109">
        <v>94.4</v>
      </c>
      <c r="G4109">
        <v>94.4</v>
      </c>
      <c r="H4109">
        <v>151.5</v>
      </c>
      <c r="I4109">
        <v>152.6</v>
      </c>
      <c r="J4109">
        <v>100</v>
      </c>
      <c r="K4109">
        <v>100</v>
      </c>
      <c r="L4109" s="1" t="s">
        <v>9595</v>
      </c>
      <c r="M4109" t="s">
        <v>9597</v>
      </c>
      <c r="N4109">
        <v>2</v>
      </c>
    </row>
    <row r="4110" spans="1:14" x14ac:dyDescent="0.25">
      <c r="A4110" s="3" t="str">
        <f>HYPERLINK("http://www.ncbi.nlm.nih.gov/gene/56159","56159")</f>
        <v>56159</v>
      </c>
      <c r="B4110" s="1" t="s">
        <v>9598</v>
      </c>
      <c r="C4110" t="s">
        <v>9599</v>
      </c>
      <c r="D4110">
        <v>86.7</v>
      </c>
      <c r="E4110">
        <v>89.3</v>
      </c>
      <c r="F4110">
        <v>93.8</v>
      </c>
      <c r="G4110">
        <v>88.2</v>
      </c>
      <c r="H4110">
        <v>104.1</v>
      </c>
      <c r="I4110">
        <v>106.5</v>
      </c>
      <c r="J4110">
        <v>97.1</v>
      </c>
      <c r="K4110">
        <v>97</v>
      </c>
      <c r="L4110" s="1" t="s">
        <v>9598</v>
      </c>
      <c r="M4110" t="s">
        <v>868</v>
      </c>
      <c r="N4110">
        <v>1</v>
      </c>
    </row>
    <row r="4111" spans="1:14" x14ac:dyDescent="0.25">
      <c r="A4111" s="3" t="str">
        <f>HYPERLINK("http://www.ncbi.nlm.nih.gov/gene/56155","56155")</f>
        <v>56155</v>
      </c>
      <c r="B4111" s="1" t="s">
        <v>9600</v>
      </c>
      <c r="C4111" t="s">
        <v>9601</v>
      </c>
      <c r="D4111">
        <v>120.4</v>
      </c>
      <c r="E4111">
        <v>121.6</v>
      </c>
      <c r="F4111">
        <v>99.9</v>
      </c>
      <c r="G4111">
        <v>98.9</v>
      </c>
      <c r="H4111">
        <v>135.80000000000001</v>
      </c>
      <c r="I4111">
        <v>139.19999999999999</v>
      </c>
      <c r="J4111">
        <v>100</v>
      </c>
      <c r="K4111">
        <v>100</v>
      </c>
      <c r="L4111" s="1" t="s">
        <v>9600</v>
      </c>
      <c r="M4111" t="s">
        <v>59</v>
      </c>
      <c r="N4111">
        <v>1</v>
      </c>
    </row>
    <row r="4112" spans="1:14" x14ac:dyDescent="0.25">
      <c r="A4112" s="3" t="str">
        <f>HYPERLINK("http://www.ncbi.nlm.nih.gov/gene/56154","56154")</f>
        <v>56154</v>
      </c>
      <c r="B4112" s="1" t="s">
        <v>9602</v>
      </c>
      <c r="C4112" t="s">
        <v>9603</v>
      </c>
      <c r="D4112">
        <v>155.5</v>
      </c>
      <c r="E4112">
        <v>140.30000000000001</v>
      </c>
      <c r="F4112">
        <v>100</v>
      </c>
      <c r="G4112">
        <v>99.7</v>
      </c>
      <c r="H4112">
        <v>133.1</v>
      </c>
      <c r="I4112">
        <v>131.19999999999999</v>
      </c>
      <c r="J4112">
        <v>100</v>
      </c>
      <c r="K4112">
        <v>100</v>
      </c>
      <c r="L4112" s="1" t="s">
        <v>9602</v>
      </c>
      <c r="M4112" t="s">
        <v>59</v>
      </c>
      <c r="N4112">
        <v>1</v>
      </c>
    </row>
    <row r="4113" spans="1:14" x14ac:dyDescent="0.25">
      <c r="A4113" s="3" t="str">
        <f>HYPERLINK("http://www.ncbi.nlm.nih.gov/gene/7018","7018")</f>
        <v>7018</v>
      </c>
      <c r="B4113" s="1" t="s">
        <v>9604</v>
      </c>
      <c r="C4113" t="s">
        <v>9605</v>
      </c>
      <c r="D4113">
        <v>121.5</v>
      </c>
      <c r="E4113">
        <v>128.4</v>
      </c>
      <c r="F4113">
        <v>100</v>
      </c>
      <c r="G4113">
        <v>100</v>
      </c>
      <c r="H4113">
        <v>135</v>
      </c>
      <c r="I4113">
        <v>139.1</v>
      </c>
      <c r="J4113">
        <v>100</v>
      </c>
      <c r="K4113">
        <v>100</v>
      </c>
      <c r="L4113" s="1" t="s">
        <v>9604</v>
      </c>
      <c r="M4113" t="s">
        <v>1639</v>
      </c>
      <c r="N4113">
        <v>3</v>
      </c>
    </row>
    <row r="4114" spans="1:14" x14ac:dyDescent="0.25">
      <c r="A4114" s="3" t="str">
        <f>HYPERLINK("http://www.ncbi.nlm.nih.gov/gene/7019","7019")</f>
        <v>7019</v>
      </c>
      <c r="B4114" s="1" t="s">
        <v>9606</v>
      </c>
      <c r="C4114" t="s">
        <v>9607</v>
      </c>
      <c r="D4114">
        <v>84.2</v>
      </c>
      <c r="E4114">
        <v>86</v>
      </c>
      <c r="F4114">
        <v>97.5</v>
      </c>
      <c r="G4114">
        <v>83.5</v>
      </c>
      <c r="H4114">
        <v>115.9</v>
      </c>
      <c r="I4114">
        <v>118.4</v>
      </c>
      <c r="J4114">
        <v>100</v>
      </c>
      <c r="K4114">
        <v>100</v>
      </c>
      <c r="L4114" s="1" t="s">
        <v>9606</v>
      </c>
      <c r="M4114" t="s">
        <v>766</v>
      </c>
      <c r="N4114">
        <v>3</v>
      </c>
    </row>
    <row r="4115" spans="1:14" x14ac:dyDescent="0.25">
      <c r="A4115" s="3" t="str">
        <f>HYPERLINK("http://www.ncbi.nlm.nih.gov/gene/7020","7020")</f>
        <v>7020</v>
      </c>
      <c r="B4115" s="1" t="s">
        <v>9608</v>
      </c>
      <c r="C4115" t="s">
        <v>9609</v>
      </c>
      <c r="D4115">
        <v>120.1</v>
      </c>
      <c r="E4115">
        <v>119.1</v>
      </c>
      <c r="F4115">
        <v>99.4</v>
      </c>
      <c r="G4115">
        <v>94.3</v>
      </c>
      <c r="H4115">
        <v>149.1</v>
      </c>
      <c r="I4115">
        <v>154</v>
      </c>
      <c r="J4115">
        <v>100</v>
      </c>
      <c r="K4115">
        <v>100</v>
      </c>
      <c r="L4115" s="1" t="s">
        <v>9608</v>
      </c>
      <c r="M4115" t="s">
        <v>9610</v>
      </c>
      <c r="N4115">
        <v>6</v>
      </c>
    </row>
    <row r="4116" spans="1:14" x14ac:dyDescent="0.25">
      <c r="A4116" s="3" t="str">
        <f>HYPERLINK("http://www.ncbi.nlm.nih.gov/gene/7021","7021")</f>
        <v>7021</v>
      </c>
      <c r="B4116" s="1" t="s">
        <v>9611</v>
      </c>
      <c r="C4116" t="s">
        <v>9612</v>
      </c>
      <c r="D4116">
        <v>165.3</v>
      </c>
      <c r="E4116">
        <v>166.7</v>
      </c>
      <c r="F4116">
        <v>99.9</v>
      </c>
      <c r="G4116">
        <v>98.6</v>
      </c>
      <c r="H4116">
        <v>165</v>
      </c>
      <c r="I4116">
        <v>172</v>
      </c>
      <c r="J4116">
        <v>100</v>
      </c>
      <c r="K4116">
        <v>100</v>
      </c>
      <c r="L4116" s="1" t="s">
        <v>9611</v>
      </c>
      <c r="M4116" t="s">
        <v>180</v>
      </c>
      <c r="N4116">
        <v>3</v>
      </c>
    </row>
    <row r="4117" spans="1:14" x14ac:dyDescent="0.25">
      <c r="A4117" s="3" t="str">
        <f>HYPERLINK("http://www.ncbi.nlm.nih.gov/gene/64216","64216")</f>
        <v>64216</v>
      </c>
      <c r="B4117" s="1" t="s">
        <v>9613</v>
      </c>
      <c r="C4117" t="s">
        <v>9614</v>
      </c>
      <c r="D4117">
        <v>90.7</v>
      </c>
      <c r="E4117">
        <v>95.6</v>
      </c>
      <c r="F4117">
        <v>100</v>
      </c>
      <c r="G4117">
        <v>99.1</v>
      </c>
      <c r="H4117">
        <v>125.8</v>
      </c>
      <c r="I4117">
        <v>129.5</v>
      </c>
      <c r="J4117">
        <v>100</v>
      </c>
      <c r="K4117">
        <v>100</v>
      </c>
      <c r="L4117" s="1" t="s">
        <v>9613</v>
      </c>
      <c r="M4117" t="s">
        <v>265</v>
      </c>
      <c r="N4117">
        <v>2</v>
      </c>
    </row>
    <row r="4118" spans="1:14" x14ac:dyDescent="0.25">
      <c r="A4118" s="3" t="str">
        <f>HYPERLINK("http://www.ncbi.nlm.nih.gov/gene/7030","7030")</f>
        <v>7030</v>
      </c>
      <c r="B4118" s="1" t="s">
        <v>9615</v>
      </c>
      <c r="C4118" t="s">
        <v>9616</v>
      </c>
      <c r="D4118">
        <v>92.1</v>
      </c>
      <c r="E4118">
        <v>92.4</v>
      </c>
      <c r="F4118">
        <v>99.3</v>
      </c>
      <c r="G4118">
        <v>94.2</v>
      </c>
      <c r="H4118">
        <v>130.5</v>
      </c>
      <c r="I4118">
        <v>133.69999999999999</v>
      </c>
      <c r="J4118">
        <v>100</v>
      </c>
      <c r="K4118">
        <v>100</v>
      </c>
      <c r="L4118" s="1" t="s">
        <v>9615</v>
      </c>
      <c r="M4118" t="s">
        <v>22</v>
      </c>
      <c r="N4118">
        <v>1</v>
      </c>
    </row>
    <row r="4119" spans="1:14" x14ac:dyDescent="0.25">
      <c r="A4119" s="3" t="str">
        <f>HYPERLINK("http://www.ncbi.nlm.nih.gov/gene/10342","10342")</f>
        <v>10342</v>
      </c>
      <c r="B4119" s="1" t="s">
        <v>9617</v>
      </c>
      <c r="C4119" t="s">
        <v>9618</v>
      </c>
      <c r="D4119">
        <v>134</v>
      </c>
      <c r="E4119">
        <v>139.5</v>
      </c>
      <c r="F4119">
        <v>96.9</v>
      </c>
      <c r="G4119">
        <v>96.3</v>
      </c>
      <c r="H4119">
        <v>131.5</v>
      </c>
      <c r="I4119">
        <v>135.6</v>
      </c>
      <c r="J4119">
        <v>100</v>
      </c>
      <c r="K4119">
        <v>100</v>
      </c>
      <c r="L4119" s="1" t="s">
        <v>9617</v>
      </c>
      <c r="M4119" t="s">
        <v>9619</v>
      </c>
      <c r="N4119">
        <v>3</v>
      </c>
    </row>
    <row r="4120" spans="1:14" x14ac:dyDescent="0.25">
      <c r="A4120" s="3" t="str">
        <f>HYPERLINK("http://www.ncbi.nlm.nih.gov/gene/7036","7036")</f>
        <v>7036</v>
      </c>
      <c r="B4120" s="1" t="s">
        <v>9620</v>
      </c>
      <c r="C4120" t="s">
        <v>9621</v>
      </c>
      <c r="D4120">
        <v>118.6</v>
      </c>
      <c r="E4120">
        <v>120</v>
      </c>
      <c r="F4120">
        <v>99.1</v>
      </c>
      <c r="G4120">
        <v>97.8</v>
      </c>
      <c r="H4120">
        <v>134.6</v>
      </c>
      <c r="I4120">
        <v>138.30000000000001</v>
      </c>
      <c r="J4120">
        <v>100</v>
      </c>
      <c r="K4120">
        <v>100</v>
      </c>
      <c r="L4120" s="1" t="s">
        <v>9620</v>
      </c>
      <c r="M4120" t="s">
        <v>4294</v>
      </c>
      <c r="N4120">
        <v>4</v>
      </c>
    </row>
    <row r="4121" spans="1:14" x14ac:dyDescent="0.25">
      <c r="A4121" s="3" t="str">
        <f>HYPERLINK("http://www.ncbi.nlm.nih.gov/gene/7037","7037")</f>
        <v>7037</v>
      </c>
      <c r="B4121" s="1" t="s">
        <v>9622</v>
      </c>
      <c r="C4121" t="s">
        <v>9623</v>
      </c>
      <c r="D4121">
        <v>160.30000000000001</v>
      </c>
      <c r="E4121">
        <v>166.7</v>
      </c>
      <c r="F4121">
        <v>100</v>
      </c>
      <c r="G4121">
        <v>99.8</v>
      </c>
      <c r="H4121">
        <v>124.4</v>
      </c>
      <c r="I4121">
        <v>128.4</v>
      </c>
      <c r="J4121">
        <v>100</v>
      </c>
      <c r="K4121">
        <v>100</v>
      </c>
      <c r="L4121" s="1" t="s">
        <v>9622</v>
      </c>
      <c r="M4121" t="s">
        <v>9624</v>
      </c>
      <c r="N4121">
        <v>4</v>
      </c>
    </row>
    <row r="4122" spans="1:14" x14ac:dyDescent="0.25">
      <c r="A4122" s="3" t="str">
        <f>HYPERLINK("http://www.ncbi.nlm.nih.gov/gene/7038","7038")</f>
        <v>7038</v>
      </c>
      <c r="B4122" s="1" t="s">
        <v>9625</v>
      </c>
      <c r="C4122" t="s">
        <v>9626</v>
      </c>
      <c r="D4122">
        <v>133</v>
      </c>
      <c r="E4122">
        <v>137.4</v>
      </c>
      <c r="F4122">
        <v>100</v>
      </c>
      <c r="G4122">
        <v>99.4</v>
      </c>
      <c r="H4122">
        <v>145.4</v>
      </c>
      <c r="I4122">
        <v>149.19999999999999</v>
      </c>
      <c r="J4122">
        <v>100</v>
      </c>
      <c r="K4122">
        <v>100</v>
      </c>
      <c r="L4122" s="1" t="s">
        <v>9625</v>
      </c>
      <c r="M4122" t="s">
        <v>6020</v>
      </c>
      <c r="N4122">
        <v>3</v>
      </c>
    </row>
    <row r="4123" spans="1:14" x14ac:dyDescent="0.25">
      <c r="A4123" s="3" t="str">
        <f>HYPERLINK("http://www.ncbi.nlm.nih.gov/gene/23483","23483")</f>
        <v>23483</v>
      </c>
      <c r="B4123" s="1" t="s">
        <v>9627</v>
      </c>
      <c r="C4123" t="s">
        <v>9628</v>
      </c>
      <c r="D4123">
        <v>105.4</v>
      </c>
      <c r="E4123">
        <v>108.6</v>
      </c>
      <c r="F4123">
        <v>99.4</v>
      </c>
      <c r="G4123">
        <v>96.8</v>
      </c>
      <c r="H4123">
        <v>119.8</v>
      </c>
      <c r="I4123">
        <v>122.4</v>
      </c>
      <c r="J4123">
        <v>100</v>
      </c>
      <c r="K4123">
        <v>100</v>
      </c>
      <c r="L4123" s="1" t="s">
        <v>9627</v>
      </c>
      <c r="M4123" t="s">
        <v>6802</v>
      </c>
      <c r="N4123">
        <v>5</v>
      </c>
    </row>
    <row r="4124" spans="1:14" x14ac:dyDescent="0.25">
      <c r="A4124" s="3" t="str">
        <f>HYPERLINK("http://www.ncbi.nlm.nih.gov/gene/7040","7040")</f>
        <v>7040</v>
      </c>
      <c r="B4124" s="1" t="s">
        <v>9629</v>
      </c>
      <c r="C4124" t="s">
        <v>9630</v>
      </c>
      <c r="D4124">
        <v>89.3</v>
      </c>
      <c r="E4124">
        <v>89.2</v>
      </c>
      <c r="F4124">
        <v>100</v>
      </c>
      <c r="G4124">
        <v>99.9</v>
      </c>
      <c r="H4124">
        <v>136.30000000000001</v>
      </c>
      <c r="I4124">
        <v>141.19999999999999</v>
      </c>
      <c r="J4124">
        <v>100</v>
      </c>
      <c r="K4124">
        <v>100</v>
      </c>
      <c r="L4124" s="1" t="s">
        <v>9629</v>
      </c>
      <c r="M4124" t="s">
        <v>9631</v>
      </c>
      <c r="N4124">
        <v>5</v>
      </c>
    </row>
    <row r="4125" spans="1:14" x14ac:dyDescent="0.25">
      <c r="A4125" s="3" t="str">
        <f>HYPERLINK("http://www.ncbi.nlm.nih.gov/gene/7042","7042")</f>
        <v>7042</v>
      </c>
      <c r="B4125" s="1" t="s">
        <v>9632</v>
      </c>
      <c r="C4125" t="s">
        <v>9633</v>
      </c>
      <c r="D4125">
        <v>196.1</v>
      </c>
      <c r="E4125">
        <v>204.5</v>
      </c>
      <c r="F4125">
        <v>100</v>
      </c>
      <c r="G4125">
        <v>100</v>
      </c>
      <c r="H4125">
        <v>143.4</v>
      </c>
      <c r="I4125">
        <v>147.19999999999999</v>
      </c>
      <c r="J4125">
        <v>100</v>
      </c>
      <c r="K4125">
        <v>100</v>
      </c>
      <c r="L4125" s="1" t="s">
        <v>9632</v>
      </c>
      <c r="M4125" t="s">
        <v>9634</v>
      </c>
      <c r="N4125">
        <v>5</v>
      </c>
    </row>
    <row r="4126" spans="1:14" x14ac:dyDescent="0.25">
      <c r="A4126" s="3" t="str">
        <f>HYPERLINK("http://www.ncbi.nlm.nih.gov/gene/7043","7043")</f>
        <v>7043</v>
      </c>
      <c r="B4126" s="1" t="s">
        <v>9635</v>
      </c>
      <c r="C4126" t="s">
        <v>9636</v>
      </c>
      <c r="D4126">
        <v>152.6</v>
      </c>
      <c r="E4126">
        <v>160.1</v>
      </c>
      <c r="F4126">
        <v>100</v>
      </c>
      <c r="G4126">
        <v>100</v>
      </c>
      <c r="H4126">
        <v>139.9</v>
      </c>
      <c r="I4126">
        <v>143.1</v>
      </c>
      <c r="J4126">
        <v>100</v>
      </c>
      <c r="K4126">
        <v>100</v>
      </c>
      <c r="L4126" s="1" t="s">
        <v>9635</v>
      </c>
      <c r="M4126" t="s">
        <v>9637</v>
      </c>
      <c r="N4126">
        <v>5</v>
      </c>
    </row>
    <row r="4127" spans="1:14" x14ac:dyDescent="0.25">
      <c r="A4127" s="3" t="str">
        <f>HYPERLINK("http://www.ncbi.nlm.nih.gov/gene/7045","7045")</f>
        <v>7045</v>
      </c>
      <c r="B4127" s="1" t="s">
        <v>9638</v>
      </c>
      <c r="C4127" t="s">
        <v>9639</v>
      </c>
      <c r="D4127">
        <v>127.2</v>
      </c>
      <c r="E4127">
        <v>134.69999999999999</v>
      </c>
      <c r="F4127">
        <v>99.5</v>
      </c>
      <c r="G4127">
        <v>94.6</v>
      </c>
      <c r="H4127">
        <v>131.30000000000001</v>
      </c>
      <c r="I4127">
        <v>134.80000000000001</v>
      </c>
      <c r="J4127">
        <v>100</v>
      </c>
      <c r="K4127">
        <v>100</v>
      </c>
      <c r="L4127" s="1" t="s">
        <v>9638</v>
      </c>
      <c r="M4127" t="s">
        <v>302</v>
      </c>
      <c r="N4127">
        <v>2</v>
      </c>
    </row>
    <row r="4128" spans="1:14" x14ac:dyDescent="0.25">
      <c r="A4128" s="3" t="str">
        <f>HYPERLINK("http://www.ncbi.nlm.nih.gov/gene/7046","7046")</f>
        <v>7046</v>
      </c>
      <c r="B4128" s="1" t="s">
        <v>9640</v>
      </c>
      <c r="C4128" t="s">
        <v>9641</v>
      </c>
      <c r="D4128">
        <v>173.7</v>
      </c>
      <c r="E4128">
        <v>181.8</v>
      </c>
      <c r="F4128">
        <v>93.7</v>
      </c>
      <c r="G4128">
        <v>93.6</v>
      </c>
      <c r="H4128">
        <v>121.1</v>
      </c>
      <c r="I4128">
        <v>125.2</v>
      </c>
      <c r="J4128">
        <v>99</v>
      </c>
      <c r="K4128">
        <v>96.3</v>
      </c>
      <c r="L4128" s="1" t="s">
        <v>9640</v>
      </c>
      <c r="M4128" t="s">
        <v>8627</v>
      </c>
      <c r="N4128">
        <v>8</v>
      </c>
    </row>
    <row r="4129" spans="1:14" x14ac:dyDescent="0.25">
      <c r="A4129" s="3" t="str">
        <f>HYPERLINK("http://www.ncbi.nlm.nih.gov/gene/7048","7048")</f>
        <v>7048</v>
      </c>
      <c r="B4129" s="1" t="s">
        <v>9642</v>
      </c>
      <c r="C4129" t="s">
        <v>9643</v>
      </c>
      <c r="D4129">
        <v>166.8</v>
      </c>
      <c r="E4129">
        <v>171.6</v>
      </c>
      <c r="F4129">
        <v>100</v>
      </c>
      <c r="G4129">
        <v>100</v>
      </c>
      <c r="H4129">
        <v>152.69999999999999</v>
      </c>
      <c r="I4129">
        <v>154.6</v>
      </c>
      <c r="J4129">
        <v>100</v>
      </c>
      <c r="K4129">
        <v>100</v>
      </c>
      <c r="L4129" s="1" t="s">
        <v>9642</v>
      </c>
      <c r="M4129" t="s">
        <v>9644</v>
      </c>
      <c r="N4129">
        <v>7</v>
      </c>
    </row>
    <row r="4130" spans="1:14" x14ac:dyDescent="0.25">
      <c r="A4130" s="3" t="str">
        <f>HYPERLINK("http://www.ncbi.nlm.nih.gov/gene/7050","7050")</f>
        <v>7050</v>
      </c>
      <c r="B4130" s="1" t="s">
        <v>9645</v>
      </c>
      <c r="C4130" t="s">
        <v>9646</v>
      </c>
      <c r="D4130">
        <v>153.4</v>
      </c>
      <c r="E4130">
        <v>160.4</v>
      </c>
      <c r="F4130">
        <v>100</v>
      </c>
      <c r="G4130">
        <v>100</v>
      </c>
      <c r="H4130">
        <v>158.4</v>
      </c>
      <c r="I4130">
        <v>160.19999999999999</v>
      </c>
      <c r="J4130">
        <v>100</v>
      </c>
      <c r="K4130">
        <v>100</v>
      </c>
      <c r="L4130" s="1" t="s">
        <v>9645</v>
      </c>
      <c r="M4130" t="s">
        <v>5778</v>
      </c>
      <c r="N4130">
        <v>4</v>
      </c>
    </row>
    <row r="4131" spans="1:14" x14ac:dyDescent="0.25">
      <c r="A4131" s="3" t="str">
        <f>HYPERLINK("http://www.ncbi.nlm.nih.gov/gene/7051","7051")</f>
        <v>7051</v>
      </c>
      <c r="B4131" s="1" t="s">
        <v>9647</v>
      </c>
      <c r="C4131" t="s">
        <v>9648</v>
      </c>
      <c r="D4131">
        <v>157.30000000000001</v>
      </c>
      <c r="E4131">
        <v>165.4</v>
      </c>
      <c r="F4131">
        <v>100</v>
      </c>
      <c r="G4131">
        <v>99.9</v>
      </c>
      <c r="H4131">
        <v>156.5</v>
      </c>
      <c r="I4131">
        <v>160.69999999999999</v>
      </c>
      <c r="J4131">
        <v>100</v>
      </c>
      <c r="K4131">
        <v>100</v>
      </c>
      <c r="L4131" s="1" t="s">
        <v>9647</v>
      </c>
      <c r="M4131" t="s">
        <v>246</v>
      </c>
      <c r="N4131">
        <v>3</v>
      </c>
    </row>
    <row r="4132" spans="1:14" x14ac:dyDescent="0.25">
      <c r="A4132" s="3" t="str">
        <f>HYPERLINK("http://www.ncbi.nlm.nih.gov/gene/7053","7053")</f>
        <v>7053</v>
      </c>
      <c r="B4132" s="1" t="s">
        <v>9649</v>
      </c>
      <c r="C4132" t="s">
        <v>9650</v>
      </c>
      <c r="D4132">
        <v>166</v>
      </c>
      <c r="E4132">
        <v>172.5</v>
      </c>
      <c r="F4132">
        <v>100</v>
      </c>
      <c r="G4132">
        <v>99.7</v>
      </c>
      <c r="H4132">
        <v>137</v>
      </c>
      <c r="I4132">
        <v>141</v>
      </c>
      <c r="J4132">
        <v>100</v>
      </c>
      <c r="K4132">
        <v>100</v>
      </c>
      <c r="L4132" s="1" t="s">
        <v>9649</v>
      </c>
      <c r="M4132" t="s">
        <v>47</v>
      </c>
      <c r="N4132">
        <v>2</v>
      </c>
    </row>
    <row r="4133" spans="1:14" x14ac:dyDescent="0.25">
      <c r="A4133" s="3" t="str">
        <f>HYPERLINK("http://www.ncbi.nlm.nih.gov/gene/9333","9333")</f>
        <v>9333</v>
      </c>
      <c r="B4133" s="1" t="s">
        <v>9651</v>
      </c>
      <c r="C4133" t="s">
        <v>9652</v>
      </c>
      <c r="D4133">
        <v>165.4</v>
      </c>
      <c r="E4133">
        <v>172.6</v>
      </c>
      <c r="F4133">
        <v>100</v>
      </c>
      <c r="G4133">
        <v>99.7</v>
      </c>
      <c r="H4133">
        <v>144.1</v>
      </c>
      <c r="I4133">
        <v>149</v>
      </c>
      <c r="J4133">
        <v>100</v>
      </c>
      <c r="K4133">
        <v>100</v>
      </c>
      <c r="L4133" s="1" t="s">
        <v>9651</v>
      </c>
      <c r="M4133" t="s">
        <v>246</v>
      </c>
      <c r="N4133">
        <v>3</v>
      </c>
    </row>
    <row r="4134" spans="1:14" x14ac:dyDescent="0.25">
      <c r="A4134" s="3" t="str">
        <f>HYPERLINK("http://www.ncbi.nlm.nih.gov/gene/343641","343641")</f>
        <v>343641</v>
      </c>
      <c r="B4134" s="1" t="s">
        <v>9653</v>
      </c>
      <c r="C4134" t="s">
        <v>9654</v>
      </c>
      <c r="D4134">
        <v>138.9</v>
      </c>
      <c r="E4134">
        <v>140.80000000000001</v>
      </c>
      <c r="F4134">
        <v>99.7</v>
      </c>
      <c r="G4134">
        <v>97.3</v>
      </c>
      <c r="H4134">
        <v>145</v>
      </c>
      <c r="I4134">
        <v>149.80000000000001</v>
      </c>
      <c r="J4134">
        <v>100</v>
      </c>
      <c r="K4134">
        <v>100</v>
      </c>
      <c r="L4134" s="1" t="s">
        <v>9653</v>
      </c>
      <c r="M4134" t="s">
        <v>600</v>
      </c>
      <c r="N4134">
        <v>2</v>
      </c>
    </row>
    <row r="4135" spans="1:14" x14ac:dyDescent="0.25">
      <c r="A4135" s="3" t="str">
        <f>HYPERLINK("http://www.ncbi.nlm.nih.gov/gene/7054","7054")</f>
        <v>7054</v>
      </c>
      <c r="B4135" s="1" t="s">
        <v>9655</v>
      </c>
      <c r="C4135" t="s">
        <v>9656</v>
      </c>
      <c r="D4135">
        <v>84.9</v>
      </c>
      <c r="E4135">
        <v>88.5</v>
      </c>
      <c r="F4135">
        <v>99.3</v>
      </c>
      <c r="G4135">
        <v>96.1</v>
      </c>
      <c r="H4135">
        <v>141.5</v>
      </c>
      <c r="I4135">
        <v>145.69999999999999</v>
      </c>
      <c r="J4135">
        <v>100</v>
      </c>
      <c r="K4135">
        <v>100</v>
      </c>
      <c r="L4135" s="1" t="s">
        <v>9655</v>
      </c>
      <c r="M4135" t="s">
        <v>9657</v>
      </c>
      <c r="N4135">
        <v>6</v>
      </c>
    </row>
    <row r="4136" spans="1:14" x14ac:dyDescent="0.25">
      <c r="A4136" s="3" t="str">
        <f>HYPERLINK("http://www.ncbi.nlm.nih.gov/gene/55145","55145")</f>
        <v>55145</v>
      </c>
      <c r="B4136" s="1" t="s">
        <v>9658</v>
      </c>
      <c r="C4136" t="s">
        <v>9659</v>
      </c>
      <c r="D4136">
        <v>178.3</v>
      </c>
      <c r="E4136">
        <v>182.6</v>
      </c>
      <c r="F4136">
        <v>100</v>
      </c>
      <c r="G4136">
        <v>100</v>
      </c>
      <c r="H4136">
        <v>166.3</v>
      </c>
      <c r="I4136">
        <v>172.1</v>
      </c>
      <c r="J4136">
        <v>100</v>
      </c>
      <c r="K4136">
        <v>100</v>
      </c>
      <c r="L4136" s="1" t="s">
        <v>9658</v>
      </c>
      <c r="M4136" t="s">
        <v>600</v>
      </c>
      <c r="N4136">
        <v>2</v>
      </c>
    </row>
    <row r="4137" spans="1:14" x14ac:dyDescent="0.25">
      <c r="A4137" s="3" t="str">
        <f>HYPERLINK("http://www.ncbi.nlm.nih.gov/gene/7056","7056")</f>
        <v>7056</v>
      </c>
      <c r="B4137" s="1" t="s">
        <v>9660</v>
      </c>
      <c r="C4137" t="s">
        <v>9661</v>
      </c>
      <c r="D4137">
        <v>149.30000000000001</v>
      </c>
      <c r="E4137">
        <v>139.30000000000001</v>
      </c>
      <c r="F4137">
        <v>100</v>
      </c>
      <c r="G4137">
        <v>99.7</v>
      </c>
      <c r="H4137">
        <v>169.1</v>
      </c>
      <c r="I4137">
        <v>170.6</v>
      </c>
      <c r="J4137">
        <v>100</v>
      </c>
      <c r="K4137">
        <v>100</v>
      </c>
      <c r="L4137" s="1" t="s">
        <v>9660</v>
      </c>
      <c r="M4137" t="s">
        <v>9662</v>
      </c>
      <c r="N4137">
        <v>4</v>
      </c>
    </row>
    <row r="4138" spans="1:14" x14ac:dyDescent="0.25">
      <c r="A4138" s="3" t="str">
        <f>HYPERLINK("http://www.ncbi.nlm.nih.gov/gene/7060","7060")</f>
        <v>7060</v>
      </c>
      <c r="B4138" s="1" t="s">
        <v>9663</v>
      </c>
      <c r="C4138" t="s">
        <v>9664</v>
      </c>
      <c r="D4138">
        <v>137.80000000000001</v>
      </c>
      <c r="E4138">
        <v>143.69999999999999</v>
      </c>
      <c r="F4138">
        <v>99.9</v>
      </c>
      <c r="G4138">
        <v>99.4</v>
      </c>
      <c r="H4138">
        <v>133.1</v>
      </c>
      <c r="I4138">
        <v>137.19999999999999</v>
      </c>
      <c r="J4138">
        <v>100</v>
      </c>
      <c r="K4138">
        <v>100</v>
      </c>
      <c r="L4138" s="1" t="s">
        <v>9663</v>
      </c>
      <c r="M4138" t="s">
        <v>197</v>
      </c>
      <c r="N4138">
        <v>2</v>
      </c>
    </row>
    <row r="4139" spans="1:14" x14ac:dyDescent="0.25">
      <c r="A4139" s="3" t="str">
        <f>HYPERLINK("http://www.ncbi.nlm.nih.gov/gene/54974","54974")</f>
        <v>54974</v>
      </c>
      <c r="B4139" s="1" t="s">
        <v>9665</v>
      </c>
      <c r="C4139" t="s">
        <v>9666</v>
      </c>
      <c r="D4139">
        <v>148.6</v>
      </c>
      <c r="E4139">
        <v>160.5</v>
      </c>
      <c r="F4139">
        <v>100</v>
      </c>
      <c r="G4139">
        <v>100</v>
      </c>
      <c r="H4139">
        <v>132</v>
      </c>
      <c r="I4139">
        <v>135.6</v>
      </c>
      <c r="J4139">
        <v>100</v>
      </c>
      <c r="K4139">
        <v>100</v>
      </c>
      <c r="L4139" s="1" t="s">
        <v>9665</v>
      </c>
      <c r="M4139" t="s">
        <v>265</v>
      </c>
      <c r="N4139">
        <v>2</v>
      </c>
    </row>
    <row r="4140" spans="1:14" x14ac:dyDescent="0.25">
      <c r="A4140" s="3" t="str">
        <f>HYPERLINK("http://www.ncbi.nlm.nih.gov/gene/9984","9984")</f>
        <v>9984</v>
      </c>
      <c r="B4140" s="1" t="s">
        <v>9667</v>
      </c>
      <c r="C4140" t="s">
        <v>9668</v>
      </c>
      <c r="D4140">
        <v>117</v>
      </c>
      <c r="E4140">
        <v>120.8</v>
      </c>
      <c r="F4140">
        <v>99.7</v>
      </c>
      <c r="G4140">
        <v>97.8</v>
      </c>
      <c r="H4140">
        <v>138.69999999999999</v>
      </c>
      <c r="I4140">
        <v>142.30000000000001</v>
      </c>
      <c r="J4140">
        <v>100</v>
      </c>
      <c r="K4140">
        <v>100</v>
      </c>
      <c r="L4140" s="1" t="s">
        <v>9667</v>
      </c>
      <c r="M4140" t="s">
        <v>76</v>
      </c>
      <c r="N4140">
        <v>2</v>
      </c>
    </row>
    <row r="4141" spans="1:14" x14ac:dyDescent="0.25">
      <c r="A4141" s="3" t="str">
        <f>HYPERLINK("http://www.ncbi.nlm.nih.gov/gene/57187","57187")</f>
        <v>57187</v>
      </c>
      <c r="B4141" s="1" t="s">
        <v>9669</v>
      </c>
      <c r="C4141" t="s">
        <v>9670</v>
      </c>
      <c r="D4141">
        <v>95.5</v>
      </c>
      <c r="E4141">
        <v>98.9</v>
      </c>
      <c r="F4141">
        <v>98.8</v>
      </c>
      <c r="G4141">
        <v>93.7</v>
      </c>
      <c r="H4141">
        <v>117.9</v>
      </c>
      <c r="I4141">
        <v>121.3</v>
      </c>
      <c r="J4141">
        <v>100</v>
      </c>
      <c r="K4141">
        <v>100</v>
      </c>
      <c r="L4141" s="1" t="s">
        <v>9669</v>
      </c>
      <c r="M4141" t="s">
        <v>1240</v>
      </c>
      <c r="N4141">
        <v>2</v>
      </c>
    </row>
    <row r="4142" spans="1:14" x14ac:dyDescent="0.25">
      <c r="A4142" s="3" t="str">
        <f>HYPERLINK("http://www.ncbi.nlm.nih.gov/gene/79228","79228")</f>
        <v>79228</v>
      </c>
      <c r="B4142" s="1" t="s">
        <v>9671</v>
      </c>
      <c r="C4142" t="s">
        <v>9672</v>
      </c>
      <c r="D4142">
        <v>258.3</v>
      </c>
      <c r="E4142">
        <v>259.39999999999998</v>
      </c>
      <c r="F4142">
        <v>100</v>
      </c>
      <c r="G4142">
        <v>100</v>
      </c>
      <c r="H4142">
        <v>143.80000000000001</v>
      </c>
      <c r="I4142">
        <v>145.30000000000001</v>
      </c>
      <c r="J4142">
        <v>100</v>
      </c>
      <c r="K4142">
        <v>100</v>
      </c>
      <c r="L4142" s="1" t="s">
        <v>9671</v>
      </c>
      <c r="M4142" t="s">
        <v>228</v>
      </c>
      <c r="N4142">
        <v>3</v>
      </c>
    </row>
    <row r="4143" spans="1:14" x14ac:dyDescent="0.25">
      <c r="A4143" s="3" t="str">
        <f>HYPERLINK("http://www.ncbi.nlm.nih.gov/gene/7066","7066")</f>
        <v>7066</v>
      </c>
      <c r="B4143" s="1" t="s">
        <v>9673</v>
      </c>
      <c r="C4143" t="s">
        <v>9674</v>
      </c>
      <c r="D4143">
        <v>79.7</v>
      </c>
      <c r="E4143">
        <v>83.3</v>
      </c>
      <c r="F4143">
        <v>81.400000000000006</v>
      </c>
      <c r="G4143">
        <v>81</v>
      </c>
      <c r="H4143">
        <v>133.69999999999999</v>
      </c>
      <c r="I4143">
        <v>135.9</v>
      </c>
      <c r="J4143">
        <v>100</v>
      </c>
      <c r="K4143">
        <v>100</v>
      </c>
      <c r="L4143" s="1" t="s">
        <v>9673</v>
      </c>
      <c r="M4143" t="s">
        <v>9675</v>
      </c>
      <c r="N4143">
        <v>5</v>
      </c>
    </row>
    <row r="4144" spans="1:14" x14ac:dyDescent="0.25">
      <c r="A4144" s="3" t="str">
        <f>HYPERLINK("http://www.ncbi.nlm.nih.gov/gene/7067","7067")</f>
        <v>7067</v>
      </c>
      <c r="B4144" s="1" t="s">
        <v>9676</v>
      </c>
      <c r="C4144" t="s">
        <v>9677</v>
      </c>
      <c r="D4144">
        <v>174.4</v>
      </c>
      <c r="E4144">
        <v>180.7</v>
      </c>
      <c r="F4144">
        <v>100</v>
      </c>
      <c r="G4144">
        <v>99.6</v>
      </c>
      <c r="H4144">
        <v>137.1</v>
      </c>
      <c r="I4144">
        <v>141</v>
      </c>
      <c r="J4144">
        <v>100</v>
      </c>
      <c r="K4144">
        <v>100</v>
      </c>
      <c r="L4144" s="1" t="s">
        <v>9676</v>
      </c>
      <c r="M4144" t="s">
        <v>285</v>
      </c>
      <c r="N4144">
        <v>1</v>
      </c>
    </row>
    <row r="4145" spans="1:14" x14ac:dyDescent="0.25">
      <c r="A4145" s="3" t="str">
        <f>HYPERLINK("http://www.ncbi.nlm.nih.gov/gene/7068","7068")</f>
        <v>7068</v>
      </c>
      <c r="B4145" s="1" t="s">
        <v>9678</v>
      </c>
      <c r="C4145" t="s">
        <v>9679</v>
      </c>
      <c r="D4145">
        <v>176.1</v>
      </c>
      <c r="E4145">
        <v>182.7</v>
      </c>
      <c r="F4145">
        <v>100</v>
      </c>
      <c r="G4145">
        <v>99.7</v>
      </c>
      <c r="H4145">
        <v>148.5</v>
      </c>
      <c r="I4145">
        <v>153.9</v>
      </c>
      <c r="J4145">
        <v>100</v>
      </c>
      <c r="K4145">
        <v>100</v>
      </c>
      <c r="L4145" s="1" t="s">
        <v>9678</v>
      </c>
      <c r="M4145" t="s">
        <v>3014</v>
      </c>
      <c r="N4145">
        <v>3</v>
      </c>
    </row>
    <row r="4146" spans="1:14" x14ac:dyDescent="0.25">
      <c r="A4146" s="3" t="str">
        <f>HYPERLINK("http://www.ncbi.nlm.nih.gov/gene/7072","7072")</f>
        <v>7072</v>
      </c>
      <c r="B4146" s="1" t="s">
        <v>9680</v>
      </c>
      <c r="C4146" t="s">
        <v>9681</v>
      </c>
      <c r="D4146">
        <v>154.4</v>
      </c>
      <c r="E4146">
        <v>157.19999999999999</v>
      </c>
      <c r="F4146">
        <v>99.7</v>
      </c>
      <c r="G4146">
        <v>97.8</v>
      </c>
      <c r="H4146">
        <v>135.6</v>
      </c>
      <c r="I4146">
        <v>139.19999999999999</v>
      </c>
      <c r="J4146">
        <v>100</v>
      </c>
      <c r="K4146">
        <v>100</v>
      </c>
      <c r="L4146" s="1" t="s">
        <v>9680</v>
      </c>
      <c r="M4146" t="s">
        <v>4557</v>
      </c>
      <c r="N4146">
        <v>1</v>
      </c>
    </row>
    <row r="4147" spans="1:14" x14ac:dyDescent="0.25">
      <c r="A4147" s="3" t="str">
        <f>HYPERLINK("http://www.ncbi.nlm.nih.gov/gene/148022","148022")</f>
        <v>148022</v>
      </c>
      <c r="B4147" s="1" t="s">
        <v>9682</v>
      </c>
      <c r="C4147" t="s">
        <v>9683</v>
      </c>
      <c r="D4147">
        <v>135.69999999999999</v>
      </c>
      <c r="E4147">
        <v>118.3</v>
      </c>
      <c r="F4147">
        <v>100</v>
      </c>
      <c r="G4147">
        <v>100</v>
      </c>
      <c r="H4147">
        <v>162.80000000000001</v>
      </c>
      <c r="I4147">
        <v>161.4</v>
      </c>
      <c r="J4147">
        <v>100</v>
      </c>
      <c r="K4147">
        <v>100</v>
      </c>
      <c r="L4147" s="1" t="s">
        <v>9682</v>
      </c>
      <c r="M4147" t="s">
        <v>502</v>
      </c>
      <c r="N4147">
        <v>2</v>
      </c>
    </row>
    <row r="4148" spans="1:14" x14ac:dyDescent="0.25">
      <c r="A4148" s="3" t="str">
        <f>HYPERLINK("http://www.ncbi.nlm.nih.gov/gene/29928","29928")</f>
        <v>29928</v>
      </c>
      <c r="B4148" s="1" t="s">
        <v>9684</v>
      </c>
      <c r="C4148" t="s">
        <v>9685</v>
      </c>
      <c r="D4148">
        <v>88.4</v>
      </c>
      <c r="E4148">
        <v>91.7</v>
      </c>
      <c r="F4148">
        <v>100</v>
      </c>
      <c r="G4148">
        <v>99.7</v>
      </c>
      <c r="H4148">
        <v>204.1</v>
      </c>
      <c r="I4148">
        <v>211</v>
      </c>
      <c r="J4148">
        <v>100</v>
      </c>
      <c r="K4148">
        <v>100</v>
      </c>
      <c r="L4148" s="1" t="s">
        <v>9684</v>
      </c>
      <c r="M4148" t="s">
        <v>265</v>
      </c>
      <c r="N4148">
        <v>2</v>
      </c>
    </row>
    <row r="4149" spans="1:14" x14ac:dyDescent="0.25">
      <c r="A4149" s="3" t="str">
        <f>HYPERLINK("http://www.ncbi.nlm.nih.gov/gene/10469","10469")</f>
        <v>10469</v>
      </c>
      <c r="B4149" s="1" t="s">
        <v>9686</v>
      </c>
      <c r="C4149" t="s">
        <v>9687</v>
      </c>
      <c r="D4149">
        <v>162.1</v>
      </c>
      <c r="E4149">
        <v>166.9</v>
      </c>
      <c r="F4149">
        <v>100</v>
      </c>
      <c r="G4149">
        <v>99.4</v>
      </c>
      <c r="H4149">
        <v>118.9</v>
      </c>
      <c r="I4149">
        <v>122.6</v>
      </c>
      <c r="J4149">
        <v>100</v>
      </c>
      <c r="K4149">
        <v>100</v>
      </c>
      <c r="L4149" s="1" t="s">
        <v>9686</v>
      </c>
      <c r="M4149" t="s">
        <v>265</v>
      </c>
      <c r="N4149">
        <v>2</v>
      </c>
    </row>
    <row r="4150" spans="1:14" x14ac:dyDescent="0.25">
      <c r="A4150" s="3" t="str">
        <f>HYPERLINK("http://www.ncbi.nlm.nih.gov/gene/92609","92609")</f>
        <v>92609</v>
      </c>
      <c r="B4150" s="1" t="s">
        <v>9688</v>
      </c>
      <c r="C4150" t="s">
        <v>9689</v>
      </c>
      <c r="D4150">
        <v>124.5</v>
      </c>
      <c r="E4150">
        <v>129.69999999999999</v>
      </c>
      <c r="F4150">
        <v>98.3</v>
      </c>
      <c r="G4150">
        <v>94.4</v>
      </c>
      <c r="H4150">
        <v>142.6</v>
      </c>
      <c r="I4150">
        <v>145.4</v>
      </c>
      <c r="J4150">
        <v>100</v>
      </c>
      <c r="K4150">
        <v>100</v>
      </c>
      <c r="L4150" s="1" t="s">
        <v>9688</v>
      </c>
      <c r="M4150" t="s">
        <v>1330</v>
      </c>
      <c r="N4150">
        <v>5</v>
      </c>
    </row>
    <row r="4151" spans="1:14" x14ac:dyDescent="0.25">
      <c r="A4151" s="3" t="str">
        <f>HYPERLINK("http://www.ncbi.nlm.nih.gov/gene/1678","1678")</f>
        <v>1678</v>
      </c>
      <c r="B4151" s="1" t="s">
        <v>9690</v>
      </c>
      <c r="C4151" t="s">
        <v>9691</v>
      </c>
      <c r="D4151">
        <v>65</v>
      </c>
      <c r="E4151">
        <v>62.7</v>
      </c>
      <c r="F4151">
        <v>98.1</v>
      </c>
      <c r="G4151">
        <v>90.6</v>
      </c>
      <c r="H4151">
        <v>128.19999999999999</v>
      </c>
      <c r="I4151">
        <v>132.19999999999999</v>
      </c>
      <c r="J4151">
        <v>100</v>
      </c>
      <c r="K4151">
        <v>100</v>
      </c>
      <c r="L4151" s="1" t="s">
        <v>9690</v>
      </c>
      <c r="M4151" t="s">
        <v>9692</v>
      </c>
      <c r="N4151">
        <v>6</v>
      </c>
    </row>
    <row r="4152" spans="1:14" x14ac:dyDescent="0.25">
      <c r="A4152" s="3" t="str">
        <f>HYPERLINK("http://www.ncbi.nlm.nih.gov/gene/51300","51300")</f>
        <v>51300</v>
      </c>
      <c r="B4152" s="1" t="s">
        <v>9693</v>
      </c>
      <c r="C4152" t="s">
        <v>9694</v>
      </c>
      <c r="D4152">
        <v>182.6</v>
      </c>
      <c r="E4152">
        <v>189</v>
      </c>
      <c r="F4152">
        <v>100</v>
      </c>
      <c r="G4152">
        <v>100</v>
      </c>
      <c r="H4152">
        <v>122</v>
      </c>
      <c r="I4152">
        <v>126.2</v>
      </c>
      <c r="J4152">
        <v>100</v>
      </c>
      <c r="K4152">
        <v>100</v>
      </c>
      <c r="L4152" s="1" t="s">
        <v>9693</v>
      </c>
      <c r="M4152" t="s">
        <v>766</v>
      </c>
      <c r="N4152">
        <v>3</v>
      </c>
    </row>
    <row r="4153" spans="1:14" x14ac:dyDescent="0.25">
      <c r="A4153" s="3" t="str">
        <f>HYPERLINK("http://www.ncbi.nlm.nih.gov/gene/7076","7076")</f>
        <v>7076</v>
      </c>
      <c r="B4153" s="1" t="s">
        <v>9695</v>
      </c>
      <c r="C4153" t="s">
        <v>9696</v>
      </c>
      <c r="D4153">
        <v>124.5</v>
      </c>
      <c r="E4153">
        <v>130.5</v>
      </c>
      <c r="F4153">
        <v>100</v>
      </c>
      <c r="G4153">
        <v>100</v>
      </c>
      <c r="H4153">
        <v>141.9</v>
      </c>
      <c r="I4153">
        <v>144.4</v>
      </c>
      <c r="J4153">
        <v>100</v>
      </c>
      <c r="K4153">
        <v>100</v>
      </c>
      <c r="L4153" s="1" t="s">
        <v>9695</v>
      </c>
      <c r="M4153" t="s">
        <v>9697</v>
      </c>
      <c r="N4153">
        <v>2</v>
      </c>
    </row>
    <row r="4154" spans="1:14" x14ac:dyDescent="0.25">
      <c r="A4154" s="3" t="str">
        <f>HYPERLINK("http://www.ncbi.nlm.nih.gov/gene/7077","7077")</f>
        <v>7077</v>
      </c>
      <c r="B4154" s="1" t="s">
        <v>9698</v>
      </c>
      <c r="C4154" t="s">
        <v>9699</v>
      </c>
      <c r="D4154">
        <v>149.4</v>
      </c>
      <c r="E4154">
        <v>157.69999999999999</v>
      </c>
      <c r="F4154">
        <v>100</v>
      </c>
      <c r="G4154">
        <v>99</v>
      </c>
      <c r="H4154">
        <v>135.30000000000001</v>
      </c>
      <c r="I4154">
        <v>139.6</v>
      </c>
      <c r="J4154">
        <v>99.8</v>
      </c>
      <c r="K4154">
        <v>98.5</v>
      </c>
      <c r="L4154" s="1" t="s">
        <v>9698</v>
      </c>
      <c r="M4154" t="s">
        <v>661</v>
      </c>
      <c r="N4154">
        <v>2</v>
      </c>
    </row>
    <row r="4155" spans="1:14" x14ac:dyDescent="0.25">
      <c r="A4155" s="3" t="str">
        <f>HYPERLINK("http://www.ncbi.nlm.nih.gov/gene/7078","7078")</f>
        <v>7078</v>
      </c>
      <c r="B4155" s="1" t="s">
        <v>9700</v>
      </c>
      <c r="C4155" t="s">
        <v>9701</v>
      </c>
      <c r="D4155">
        <v>140.19999999999999</v>
      </c>
      <c r="E4155">
        <v>145.1</v>
      </c>
      <c r="F4155">
        <v>100</v>
      </c>
      <c r="G4155">
        <v>100</v>
      </c>
      <c r="H4155">
        <v>141.19999999999999</v>
      </c>
      <c r="I4155">
        <v>145.1</v>
      </c>
      <c r="J4155">
        <v>100</v>
      </c>
      <c r="K4155">
        <v>100</v>
      </c>
      <c r="L4155" s="1" t="s">
        <v>9700</v>
      </c>
      <c r="M4155" t="s">
        <v>302</v>
      </c>
      <c r="N4155">
        <v>2</v>
      </c>
    </row>
    <row r="4156" spans="1:14" x14ac:dyDescent="0.25">
      <c r="A4156" s="3" t="str">
        <f>HYPERLINK("http://www.ncbi.nlm.nih.gov/gene/26277","26277")</f>
        <v>26277</v>
      </c>
      <c r="B4156" s="1" t="s">
        <v>9702</v>
      </c>
      <c r="C4156" t="s">
        <v>9703</v>
      </c>
      <c r="D4156">
        <v>182.8</v>
      </c>
      <c r="E4156">
        <v>187.5</v>
      </c>
      <c r="F4156">
        <v>100</v>
      </c>
      <c r="G4156">
        <v>100</v>
      </c>
      <c r="H4156">
        <v>135.69999999999999</v>
      </c>
      <c r="I4156">
        <v>137.30000000000001</v>
      </c>
      <c r="J4156">
        <v>100</v>
      </c>
      <c r="K4156">
        <v>100</v>
      </c>
      <c r="L4156" s="1" t="s">
        <v>9702</v>
      </c>
      <c r="M4156" t="s">
        <v>9704</v>
      </c>
      <c r="N4156">
        <v>8</v>
      </c>
    </row>
    <row r="4157" spans="1:14" x14ac:dyDescent="0.25">
      <c r="A4157" s="3" t="str">
        <f>HYPERLINK("http://www.ncbi.nlm.nih.gov/gene/114609","114609")</f>
        <v>114609</v>
      </c>
      <c r="B4157" s="1" t="s">
        <v>9705</v>
      </c>
      <c r="C4157" t="s">
        <v>9706</v>
      </c>
      <c r="D4157">
        <v>137</v>
      </c>
      <c r="E4157">
        <v>117.4</v>
      </c>
      <c r="F4157">
        <v>100</v>
      </c>
      <c r="G4157">
        <v>100</v>
      </c>
      <c r="H4157">
        <v>161.80000000000001</v>
      </c>
      <c r="I4157">
        <v>162.9</v>
      </c>
      <c r="J4157">
        <v>100</v>
      </c>
      <c r="K4157">
        <v>100</v>
      </c>
      <c r="L4157" s="1" t="s">
        <v>9705</v>
      </c>
      <c r="M4157" t="s">
        <v>4913</v>
      </c>
      <c r="N4157">
        <v>2</v>
      </c>
    </row>
    <row r="4158" spans="1:14" x14ac:dyDescent="0.25">
      <c r="A4158" s="3" t="str">
        <f>HYPERLINK("http://www.ncbi.nlm.nih.gov/gene/7082","7082")</f>
        <v>7082</v>
      </c>
      <c r="B4158" s="1" t="s">
        <v>9707</v>
      </c>
      <c r="C4158" t="s">
        <v>9708</v>
      </c>
      <c r="D4158">
        <v>170.4</v>
      </c>
      <c r="E4158">
        <v>171.3</v>
      </c>
      <c r="F4158">
        <v>100</v>
      </c>
      <c r="G4158">
        <v>99.7</v>
      </c>
      <c r="H4158">
        <v>193.2</v>
      </c>
      <c r="I4158">
        <v>198.4</v>
      </c>
      <c r="J4158">
        <v>100</v>
      </c>
      <c r="K4158">
        <v>100</v>
      </c>
      <c r="L4158" s="1" t="s">
        <v>9707</v>
      </c>
      <c r="M4158" t="s">
        <v>197</v>
      </c>
      <c r="N4158">
        <v>2</v>
      </c>
    </row>
    <row r="4159" spans="1:14" x14ac:dyDescent="0.25">
      <c r="A4159" s="3" t="str">
        <f>HYPERLINK("http://www.ncbi.nlm.nih.gov/gene/9414","9414")</f>
        <v>9414</v>
      </c>
      <c r="B4159" s="1" t="s">
        <v>9709</v>
      </c>
      <c r="C4159" t="s">
        <v>9710</v>
      </c>
      <c r="D4159">
        <v>115.6</v>
      </c>
      <c r="E4159">
        <v>117.6</v>
      </c>
      <c r="F4159">
        <v>92.8</v>
      </c>
      <c r="G4159">
        <v>92.5</v>
      </c>
      <c r="H4159">
        <v>137.1</v>
      </c>
      <c r="I4159">
        <v>139.4</v>
      </c>
      <c r="J4159">
        <v>98.8</v>
      </c>
      <c r="K4159">
        <v>98.8</v>
      </c>
      <c r="L4159" s="1" t="s">
        <v>9709</v>
      </c>
      <c r="M4159" t="s">
        <v>9711</v>
      </c>
      <c r="N4159">
        <v>4</v>
      </c>
    </row>
    <row r="4160" spans="1:14" x14ac:dyDescent="0.25">
      <c r="A4160" s="3" t="str">
        <f>HYPERLINK("http://www.ncbi.nlm.nih.gov/gene/7084","7084")</f>
        <v>7084</v>
      </c>
      <c r="B4160" s="1" t="s">
        <v>9712</v>
      </c>
      <c r="C4160" t="s">
        <v>9713</v>
      </c>
      <c r="D4160">
        <v>121.3</v>
      </c>
      <c r="E4160">
        <v>119.9</v>
      </c>
      <c r="F4160">
        <v>99.2</v>
      </c>
      <c r="G4160">
        <v>96.3</v>
      </c>
      <c r="H4160">
        <v>126.3</v>
      </c>
      <c r="I4160">
        <v>130</v>
      </c>
      <c r="J4160">
        <v>100</v>
      </c>
      <c r="K4160">
        <v>100</v>
      </c>
      <c r="L4160" s="1" t="s">
        <v>9712</v>
      </c>
      <c r="M4160" t="s">
        <v>9714</v>
      </c>
      <c r="N4160">
        <v>5</v>
      </c>
    </row>
    <row r="4161" spans="1:14" x14ac:dyDescent="0.25">
      <c r="A4161" s="3" t="str">
        <f>HYPERLINK("http://www.ncbi.nlm.nih.gov/gene/26007","26007")</f>
        <v>26007</v>
      </c>
      <c r="B4161" s="1" t="s">
        <v>9715</v>
      </c>
      <c r="C4161" t="s">
        <v>9716</v>
      </c>
      <c r="D4161">
        <v>132.69999999999999</v>
      </c>
      <c r="E4161">
        <v>137.30000000000001</v>
      </c>
      <c r="F4161">
        <v>100</v>
      </c>
      <c r="G4161">
        <v>99.5</v>
      </c>
      <c r="H4161">
        <v>132.69999999999999</v>
      </c>
      <c r="I4161">
        <v>136</v>
      </c>
      <c r="J4161">
        <v>100</v>
      </c>
      <c r="K4161">
        <v>100</v>
      </c>
      <c r="L4161" s="1" t="s">
        <v>9715</v>
      </c>
      <c r="M4161" t="s">
        <v>9717</v>
      </c>
      <c r="N4161">
        <v>3</v>
      </c>
    </row>
    <row r="4162" spans="1:14" x14ac:dyDescent="0.25">
      <c r="A4162" s="3" t="str">
        <f>HYPERLINK("http://www.ncbi.nlm.nih.gov/gene/7086","7086")</f>
        <v>7086</v>
      </c>
      <c r="B4162" s="1" t="s">
        <v>9718</v>
      </c>
      <c r="C4162" t="s">
        <v>9719</v>
      </c>
      <c r="D4162">
        <v>118.3</v>
      </c>
      <c r="E4162">
        <v>122.7</v>
      </c>
      <c r="F4162">
        <v>98.7</v>
      </c>
      <c r="G4162">
        <v>97.8</v>
      </c>
      <c r="H4162">
        <v>125.8</v>
      </c>
      <c r="I4162">
        <v>129.1</v>
      </c>
      <c r="J4162">
        <v>98.7</v>
      </c>
      <c r="K4162">
        <v>98.7</v>
      </c>
      <c r="L4162" s="1" t="s">
        <v>9718</v>
      </c>
      <c r="M4162" t="s">
        <v>38</v>
      </c>
      <c r="N4162">
        <v>4</v>
      </c>
    </row>
    <row r="4163" spans="1:14" x14ac:dyDescent="0.25">
      <c r="A4163" s="3" t="str">
        <f>HYPERLINK("http://www.ncbi.nlm.nih.gov/gene/79816","79816")</f>
        <v>79816</v>
      </c>
      <c r="B4163" s="1" t="s">
        <v>9720</v>
      </c>
      <c r="C4163" t="s">
        <v>9721</v>
      </c>
      <c r="D4163">
        <v>111.8</v>
      </c>
      <c r="E4163">
        <v>117.5</v>
      </c>
      <c r="F4163">
        <v>100</v>
      </c>
      <c r="G4163">
        <v>98.8</v>
      </c>
      <c r="H4163">
        <v>125.7</v>
      </c>
      <c r="I4163">
        <v>128.4</v>
      </c>
      <c r="J4163">
        <v>100</v>
      </c>
      <c r="K4163">
        <v>100</v>
      </c>
      <c r="L4163" s="1" t="s">
        <v>9720</v>
      </c>
      <c r="M4163" t="s">
        <v>53</v>
      </c>
      <c r="N4163">
        <v>2</v>
      </c>
    </row>
    <row r="4164" spans="1:14" x14ac:dyDescent="0.25">
      <c r="A4164" s="3" t="str">
        <f>HYPERLINK("http://www.ncbi.nlm.nih.gov/gene/11011","11011")</f>
        <v>11011</v>
      </c>
      <c r="B4164" s="1" t="s">
        <v>9722</v>
      </c>
      <c r="C4164" t="s">
        <v>9723</v>
      </c>
      <c r="D4164">
        <v>107.2</v>
      </c>
      <c r="E4164">
        <v>108.4</v>
      </c>
      <c r="F4164">
        <v>99.1</v>
      </c>
      <c r="G4164">
        <v>95.1</v>
      </c>
      <c r="H4164">
        <v>126.4</v>
      </c>
      <c r="I4164">
        <v>129.80000000000001</v>
      </c>
      <c r="J4164">
        <v>100</v>
      </c>
      <c r="K4164">
        <v>100</v>
      </c>
      <c r="L4164" s="1" t="s">
        <v>9722</v>
      </c>
      <c r="M4164" t="s">
        <v>1679</v>
      </c>
      <c r="N4164">
        <v>3</v>
      </c>
    </row>
    <row r="4165" spans="1:14" x14ac:dyDescent="0.25">
      <c r="A4165" s="3" t="str">
        <f>HYPERLINK("http://www.ncbi.nlm.nih.gov/gene/7092","7092")</f>
        <v>7092</v>
      </c>
      <c r="B4165" s="1" t="s">
        <v>9724</v>
      </c>
      <c r="C4165" t="s">
        <v>9725</v>
      </c>
      <c r="D4165">
        <v>154</v>
      </c>
      <c r="E4165">
        <v>160.1</v>
      </c>
      <c r="F4165">
        <v>100</v>
      </c>
      <c r="G4165">
        <v>100</v>
      </c>
      <c r="H4165">
        <v>128.19999999999999</v>
      </c>
      <c r="I4165">
        <v>132</v>
      </c>
      <c r="J4165">
        <v>100</v>
      </c>
      <c r="K4165">
        <v>100</v>
      </c>
      <c r="L4165" s="1" t="s">
        <v>9724</v>
      </c>
      <c r="M4165" t="s">
        <v>180</v>
      </c>
      <c r="N4165">
        <v>3</v>
      </c>
    </row>
    <row r="4166" spans="1:14" x14ac:dyDescent="0.25">
      <c r="A4166" s="3" t="str">
        <f>HYPERLINK("http://www.ncbi.nlm.nih.gov/gene/7094","7094")</f>
        <v>7094</v>
      </c>
      <c r="B4166" s="1" t="s">
        <v>9726</v>
      </c>
      <c r="C4166" t="s">
        <v>9727</v>
      </c>
      <c r="D4166">
        <v>113.6</v>
      </c>
      <c r="E4166">
        <v>116.3</v>
      </c>
      <c r="F4166">
        <v>100</v>
      </c>
      <c r="G4166">
        <v>99.3</v>
      </c>
      <c r="H4166">
        <v>134.5</v>
      </c>
      <c r="I4166">
        <v>137.9</v>
      </c>
      <c r="J4166">
        <v>100</v>
      </c>
      <c r="K4166">
        <v>100</v>
      </c>
      <c r="L4166" s="1" t="s">
        <v>9726</v>
      </c>
      <c r="M4166" t="s">
        <v>285</v>
      </c>
      <c r="N4166">
        <v>1</v>
      </c>
    </row>
    <row r="4167" spans="1:14" x14ac:dyDescent="0.25">
      <c r="A4167" s="3" t="str">
        <f>HYPERLINK("http://www.ncbi.nlm.nih.gov/gene/7098","7098")</f>
        <v>7098</v>
      </c>
      <c r="B4167" s="1" t="s">
        <v>9728</v>
      </c>
      <c r="C4167" t="s">
        <v>9729</v>
      </c>
      <c r="D4167">
        <v>234</v>
      </c>
      <c r="E4167">
        <v>221.7</v>
      </c>
      <c r="F4167">
        <v>100</v>
      </c>
      <c r="G4167">
        <v>99.6</v>
      </c>
      <c r="H4167">
        <v>151.9</v>
      </c>
      <c r="I4167">
        <v>151.9</v>
      </c>
      <c r="J4167">
        <v>100</v>
      </c>
      <c r="K4167">
        <v>100</v>
      </c>
      <c r="L4167" s="1" t="s">
        <v>9728</v>
      </c>
      <c r="M4167" t="s">
        <v>562</v>
      </c>
      <c r="N4167">
        <v>2</v>
      </c>
    </row>
    <row r="4168" spans="1:14" x14ac:dyDescent="0.25">
      <c r="A4168" s="3" t="str">
        <f>HYPERLINK("http://www.ncbi.nlm.nih.gov/gene/7099","7099")</f>
        <v>7099</v>
      </c>
      <c r="B4168" s="1" t="s">
        <v>9730</v>
      </c>
      <c r="C4168" t="s">
        <v>9731</v>
      </c>
      <c r="D4168">
        <v>168.8</v>
      </c>
      <c r="E4168">
        <v>159</v>
      </c>
      <c r="F4168">
        <v>100</v>
      </c>
      <c r="G4168">
        <v>99.8</v>
      </c>
      <c r="H4168">
        <v>155.69999999999999</v>
      </c>
      <c r="I4168">
        <v>156.69999999999999</v>
      </c>
      <c r="J4168">
        <v>100</v>
      </c>
      <c r="K4168">
        <v>100</v>
      </c>
      <c r="L4168" s="1" t="s">
        <v>9730</v>
      </c>
      <c r="M4168" t="s">
        <v>4913</v>
      </c>
      <c r="N4168">
        <v>2</v>
      </c>
    </row>
    <row r="4169" spans="1:14" x14ac:dyDescent="0.25">
      <c r="A4169" s="3" t="str">
        <f>HYPERLINK("http://www.ncbi.nlm.nih.gov/gene/51284","51284")</f>
        <v>51284</v>
      </c>
      <c r="B4169" s="1" t="s">
        <v>9732</v>
      </c>
      <c r="C4169" t="s">
        <v>9733</v>
      </c>
      <c r="D4169">
        <v>139.30000000000001</v>
      </c>
      <c r="E4169">
        <v>128.6</v>
      </c>
      <c r="F4169">
        <v>100</v>
      </c>
      <c r="G4169">
        <v>99.9</v>
      </c>
      <c r="H4169">
        <v>141</v>
      </c>
      <c r="I4169">
        <v>142.4</v>
      </c>
      <c r="J4169">
        <v>100</v>
      </c>
      <c r="K4169">
        <v>100</v>
      </c>
      <c r="L4169" s="1" t="s">
        <v>9732</v>
      </c>
      <c r="M4169" t="s">
        <v>6033</v>
      </c>
      <c r="N4169">
        <v>2</v>
      </c>
    </row>
    <row r="4170" spans="1:14" x14ac:dyDescent="0.25">
      <c r="A4170" s="3" t="str">
        <f>HYPERLINK("http://www.ncbi.nlm.nih.gov/gene/51311","51311")</f>
        <v>51311</v>
      </c>
      <c r="B4170" s="1" t="s">
        <v>9734</v>
      </c>
      <c r="C4170" t="s">
        <v>9735</v>
      </c>
      <c r="D4170">
        <v>189.8</v>
      </c>
      <c r="E4170">
        <v>176.8</v>
      </c>
      <c r="F4170">
        <v>100</v>
      </c>
      <c r="G4170">
        <v>99.8</v>
      </c>
      <c r="H4170">
        <v>119.7</v>
      </c>
      <c r="I4170">
        <v>119.4</v>
      </c>
      <c r="J4170">
        <v>100</v>
      </c>
      <c r="K4170">
        <v>100</v>
      </c>
      <c r="L4170" s="1" t="s">
        <v>9734</v>
      </c>
      <c r="M4170" t="s">
        <v>6033</v>
      </c>
      <c r="N4170">
        <v>2</v>
      </c>
    </row>
    <row r="4171" spans="1:14" x14ac:dyDescent="0.25">
      <c r="A4171" s="3" t="str">
        <f>HYPERLINK("http://www.ncbi.nlm.nih.gov/gene/117531","117531")</f>
        <v>117531</v>
      </c>
      <c r="B4171" s="1" t="s">
        <v>9736</v>
      </c>
      <c r="C4171" t="s">
        <v>9737</v>
      </c>
      <c r="D4171">
        <v>137.6</v>
      </c>
      <c r="E4171">
        <v>141.1</v>
      </c>
      <c r="F4171">
        <v>99.7</v>
      </c>
      <c r="G4171">
        <v>97.3</v>
      </c>
      <c r="H4171">
        <v>125.2</v>
      </c>
      <c r="I4171">
        <v>128.80000000000001</v>
      </c>
      <c r="J4171">
        <v>100</v>
      </c>
      <c r="K4171">
        <v>100</v>
      </c>
      <c r="L4171" s="1" t="s">
        <v>9736</v>
      </c>
      <c r="M4171" t="s">
        <v>3256</v>
      </c>
      <c r="N4171">
        <v>3</v>
      </c>
    </row>
    <row r="4172" spans="1:14" x14ac:dyDescent="0.25">
      <c r="A4172" s="3" t="str">
        <f>HYPERLINK("http://www.ncbi.nlm.nih.gov/gene/11322","11322")</f>
        <v>11322</v>
      </c>
      <c r="B4172" s="1" t="s">
        <v>9738</v>
      </c>
      <c r="C4172" t="s">
        <v>9739</v>
      </c>
      <c r="D4172">
        <v>89.4</v>
      </c>
      <c r="E4172">
        <v>90</v>
      </c>
      <c r="F4172">
        <v>100</v>
      </c>
      <c r="G4172">
        <v>99.3</v>
      </c>
      <c r="H4172">
        <v>136.69999999999999</v>
      </c>
      <c r="I4172">
        <v>140.4</v>
      </c>
      <c r="J4172">
        <v>100</v>
      </c>
      <c r="K4172">
        <v>100</v>
      </c>
      <c r="L4172" s="1" t="s">
        <v>9738</v>
      </c>
      <c r="M4172" t="s">
        <v>225</v>
      </c>
      <c r="N4172">
        <v>4</v>
      </c>
    </row>
    <row r="4173" spans="1:14" x14ac:dyDescent="0.25">
      <c r="A4173" s="3" t="str">
        <f>HYPERLINK("http://www.ncbi.nlm.nih.gov/gene/147138","147138")</f>
        <v>147138</v>
      </c>
      <c r="B4173" s="1" t="s">
        <v>9740</v>
      </c>
      <c r="C4173" t="s">
        <v>9741</v>
      </c>
      <c r="D4173">
        <v>120.8</v>
      </c>
      <c r="E4173">
        <v>125.7</v>
      </c>
      <c r="F4173">
        <v>100</v>
      </c>
      <c r="G4173">
        <v>98.7</v>
      </c>
      <c r="H4173">
        <v>160.30000000000001</v>
      </c>
      <c r="I4173">
        <v>165.9</v>
      </c>
      <c r="J4173">
        <v>100</v>
      </c>
      <c r="K4173">
        <v>100</v>
      </c>
      <c r="L4173" s="1" t="s">
        <v>9740</v>
      </c>
      <c r="M4173" t="s">
        <v>9742</v>
      </c>
      <c r="N4173">
        <v>4</v>
      </c>
    </row>
    <row r="4174" spans="1:14" x14ac:dyDescent="0.25">
      <c r="A4174" s="3" t="str">
        <f>HYPERLINK("http://www.ncbi.nlm.nih.gov/gene/54499","54499")</f>
        <v>54499</v>
      </c>
      <c r="B4174" s="1" t="s">
        <v>9743</v>
      </c>
      <c r="C4174" t="s">
        <v>9744</v>
      </c>
      <c r="D4174">
        <v>82</v>
      </c>
      <c r="E4174">
        <v>86.2</v>
      </c>
      <c r="F4174">
        <v>88</v>
      </c>
      <c r="G4174">
        <v>87.4</v>
      </c>
      <c r="H4174">
        <v>106.7</v>
      </c>
      <c r="I4174">
        <v>108.7</v>
      </c>
      <c r="J4174">
        <v>88</v>
      </c>
      <c r="K4174">
        <v>88</v>
      </c>
      <c r="L4174" s="1" t="s">
        <v>9743</v>
      </c>
      <c r="M4174" t="s">
        <v>3718</v>
      </c>
      <c r="N4174">
        <v>4</v>
      </c>
    </row>
    <row r="4175" spans="1:14" x14ac:dyDescent="0.25">
      <c r="A4175" s="3" t="str">
        <f>HYPERLINK("http://www.ncbi.nlm.nih.gov/gene/55002","55002")</f>
        <v>55002</v>
      </c>
      <c r="B4175" s="1" t="s">
        <v>9745</v>
      </c>
      <c r="C4175" t="s">
        <v>9746</v>
      </c>
      <c r="D4175">
        <v>142.80000000000001</v>
      </c>
      <c r="E4175">
        <v>151.30000000000001</v>
      </c>
      <c r="F4175">
        <v>100</v>
      </c>
      <c r="G4175">
        <v>99.4</v>
      </c>
      <c r="H4175">
        <v>141.4</v>
      </c>
      <c r="I4175">
        <v>145.5</v>
      </c>
      <c r="J4175">
        <v>100</v>
      </c>
      <c r="K4175">
        <v>100</v>
      </c>
      <c r="L4175" s="1" t="s">
        <v>9745</v>
      </c>
      <c r="M4175" t="s">
        <v>302</v>
      </c>
      <c r="N4175">
        <v>2</v>
      </c>
    </row>
    <row r="4176" spans="1:14" x14ac:dyDescent="0.25">
      <c r="A4176" s="3" t="str">
        <f>HYPERLINK("http://www.ncbi.nlm.nih.gov/gene/54664","54664")</f>
        <v>54664</v>
      </c>
      <c r="B4176" s="1" t="s">
        <v>9747</v>
      </c>
      <c r="C4176" t="s">
        <v>9748</v>
      </c>
      <c r="D4176">
        <v>141</v>
      </c>
      <c r="E4176">
        <v>148.69999999999999</v>
      </c>
      <c r="F4176">
        <v>99.9</v>
      </c>
      <c r="G4176">
        <v>98.8</v>
      </c>
      <c r="H4176">
        <v>125.7</v>
      </c>
      <c r="I4176">
        <v>129.1</v>
      </c>
      <c r="J4176">
        <v>100</v>
      </c>
      <c r="K4176">
        <v>100</v>
      </c>
      <c r="L4176" s="1" t="s">
        <v>9747</v>
      </c>
      <c r="M4176" t="s">
        <v>9749</v>
      </c>
      <c r="N4176">
        <v>4</v>
      </c>
    </row>
    <row r="4177" spans="1:14" x14ac:dyDescent="0.25">
      <c r="A4177" s="3" t="str">
        <f>HYPERLINK("http://www.ncbi.nlm.nih.gov/gene/84314","84314")</f>
        <v>84314</v>
      </c>
      <c r="B4177" s="1" t="s">
        <v>9750</v>
      </c>
      <c r="C4177" t="s">
        <v>9751</v>
      </c>
      <c r="D4177">
        <v>155.30000000000001</v>
      </c>
      <c r="E4177">
        <v>155.1</v>
      </c>
      <c r="F4177">
        <v>100</v>
      </c>
      <c r="G4177">
        <v>100</v>
      </c>
      <c r="H4177">
        <v>117.9</v>
      </c>
      <c r="I4177">
        <v>121.8</v>
      </c>
      <c r="J4177">
        <v>100</v>
      </c>
      <c r="K4177">
        <v>100</v>
      </c>
      <c r="L4177" s="1" t="s">
        <v>9750</v>
      </c>
      <c r="M4177" t="s">
        <v>4959</v>
      </c>
      <c r="N4177">
        <v>4</v>
      </c>
    </row>
    <row r="4178" spans="1:14" x14ac:dyDescent="0.25">
      <c r="A4178" s="3" t="str">
        <f>HYPERLINK("http://www.ncbi.nlm.nih.gov/gene/84233","84233")</f>
        <v>84233</v>
      </c>
      <c r="B4178" s="1" t="s">
        <v>9752</v>
      </c>
      <c r="C4178" t="s">
        <v>9753</v>
      </c>
      <c r="D4178">
        <v>119.9</v>
      </c>
      <c r="E4178">
        <v>125.2</v>
      </c>
      <c r="F4178">
        <v>96.3</v>
      </c>
      <c r="G4178">
        <v>84.4</v>
      </c>
      <c r="H4178">
        <v>129.69999999999999</v>
      </c>
      <c r="I4178">
        <v>134.1</v>
      </c>
      <c r="J4178">
        <v>100</v>
      </c>
      <c r="K4178">
        <v>100</v>
      </c>
      <c r="L4178" s="1" t="s">
        <v>9752</v>
      </c>
      <c r="M4178" t="s">
        <v>9754</v>
      </c>
      <c r="N4178">
        <v>4</v>
      </c>
    </row>
    <row r="4179" spans="1:14" x14ac:dyDescent="0.25">
      <c r="A4179" s="3" t="str">
        <f>HYPERLINK("http://www.ncbi.nlm.nih.gov/gene/55863","55863")</f>
        <v>55863</v>
      </c>
      <c r="B4179" s="1" t="s">
        <v>9755</v>
      </c>
      <c r="C4179" t="s">
        <v>9756</v>
      </c>
      <c r="D4179">
        <v>96.5</v>
      </c>
      <c r="E4179">
        <v>100.8</v>
      </c>
      <c r="F4179">
        <v>99.8</v>
      </c>
      <c r="G4179">
        <v>97.4</v>
      </c>
      <c r="H4179">
        <v>114.6</v>
      </c>
      <c r="I4179">
        <v>119.7</v>
      </c>
      <c r="J4179">
        <v>100</v>
      </c>
      <c r="K4179">
        <v>100</v>
      </c>
      <c r="L4179" s="1" t="s">
        <v>9755</v>
      </c>
      <c r="M4179" t="s">
        <v>766</v>
      </c>
      <c r="N4179">
        <v>3</v>
      </c>
    </row>
    <row r="4180" spans="1:14" x14ac:dyDescent="0.25">
      <c r="A4180" s="3" t="str">
        <f>HYPERLINK("http://www.ncbi.nlm.nih.gov/gene/55654","55654")</f>
        <v>55654</v>
      </c>
      <c r="B4180" s="1" t="s">
        <v>9757</v>
      </c>
      <c r="D4180">
        <v>101.5</v>
      </c>
      <c r="E4180">
        <v>102.5</v>
      </c>
      <c r="F4180">
        <v>99.5</v>
      </c>
      <c r="G4180">
        <v>96.5</v>
      </c>
      <c r="H4180">
        <v>147.6</v>
      </c>
      <c r="I4180">
        <v>153.9</v>
      </c>
      <c r="J4180">
        <v>100</v>
      </c>
      <c r="K4180">
        <v>100</v>
      </c>
      <c r="L4180" s="1" t="s">
        <v>9757</v>
      </c>
      <c r="M4180" t="s">
        <v>19</v>
      </c>
      <c r="N4180">
        <v>2</v>
      </c>
    </row>
    <row r="4181" spans="1:14" x14ac:dyDescent="0.25">
      <c r="A4181" s="3" t="str">
        <f>HYPERLINK("http://www.ncbi.nlm.nih.gov/gene/124842","124842")</f>
        <v>124842</v>
      </c>
      <c r="B4181" s="1" t="s">
        <v>9758</v>
      </c>
      <c r="C4181" t="s">
        <v>9759</v>
      </c>
      <c r="D4181">
        <v>118.5</v>
      </c>
      <c r="E4181">
        <v>117.8</v>
      </c>
      <c r="F4181">
        <v>96.9</v>
      </c>
      <c r="G4181">
        <v>93.5</v>
      </c>
      <c r="H4181">
        <v>151.30000000000001</v>
      </c>
      <c r="I4181">
        <v>151.80000000000001</v>
      </c>
      <c r="J4181">
        <v>100</v>
      </c>
      <c r="K4181">
        <v>100</v>
      </c>
      <c r="L4181" s="1" t="s">
        <v>9758</v>
      </c>
      <c r="M4181" t="s">
        <v>269</v>
      </c>
      <c r="N4181">
        <v>3</v>
      </c>
    </row>
    <row r="4182" spans="1:14" x14ac:dyDescent="0.25">
      <c r="A4182" s="3" t="str">
        <f>HYPERLINK("http://www.ncbi.nlm.nih.gov/gene/51524","51524")</f>
        <v>51524</v>
      </c>
      <c r="B4182" s="1" t="s">
        <v>9760</v>
      </c>
      <c r="C4182" t="s">
        <v>9761</v>
      </c>
      <c r="D4182">
        <v>93</v>
      </c>
      <c r="E4182">
        <v>95.1</v>
      </c>
      <c r="F4182">
        <v>100</v>
      </c>
      <c r="G4182">
        <v>99.1</v>
      </c>
      <c r="H4182">
        <v>153.6</v>
      </c>
      <c r="I4182">
        <v>158.69999999999999</v>
      </c>
      <c r="J4182">
        <v>100</v>
      </c>
      <c r="K4182">
        <v>100</v>
      </c>
      <c r="L4182" s="1" t="s">
        <v>9760</v>
      </c>
      <c r="M4182" t="s">
        <v>1063</v>
      </c>
      <c r="N4182">
        <v>5</v>
      </c>
    </row>
    <row r="4183" spans="1:14" x14ac:dyDescent="0.25">
      <c r="A4183" s="3" t="str">
        <f>HYPERLINK("http://www.ncbi.nlm.nih.gov/gene/51522","51522")</f>
        <v>51522</v>
      </c>
      <c r="B4183" s="1" t="s">
        <v>9762</v>
      </c>
      <c r="C4183" t="s">
        <v>9763</v>
      </c>
      <c r="D4183">
        <v>123.7</v>
      </c>
      <c r="E4183">
        <v>122.8</v>
      </c>
      <c r="F4183">
        <v>100</v>
      </c>
      <c r="G4183">
        <v>99.8</v>
      </c>
      <c r="H4183">
        <v>155.5</v>
      </c>
      <c r="I4183">
        <v>158.4</v>
      </c>
      <c r="J4183">
        <v>100</v>
      </c>
      <c r="K4183">
        <v>100</v>
      </c>
      <c r="L4183" s="1" t="s">
        <v>9762</v>
      </c>
      <c r="M4183" t="s">
        <v>62</v>
      </c>
      <c r="N4183">
        <v>2</v>
      </c>
    </row>
    <row r="4184" spans="1:14" x14ac:dyDescent="0.25">
      <c r="A4184" s="3" t="str">
        <f>HYPERLINK("http://www.ncbi.nlm.nih.gov/gene/55858","55858")</f>
        <v>55858</v>
      </c>
      <c r="B4184" s="1" t="s">
        <v>9764</v>
      </c>
      <c r="C4184" t="s">
        <v>9765</v>
      </c>
      <c r="D4184">
        <v>129</v>
      </c>
      <c r="E4184">
        <v>133.80000000000001</v>
      </c>
      <c r="F4184">
        <v>100</v>
      </c>
      <c r="G4184">
        <v>100</v>
      </c>
      <c r="H4184">
        <v>121.1</v>
      </c>
      <c r="I4184">
        <v>125.5</v>
      </c>
      <c r="J4184">
        <v>100</v>
      </c>
      <c r="K4184">
        <v>100</v>
      </c>
      <c r="L4184" s="1" t="s">
        <v>9764</v>
      </c>
      <c r="M4184" t="s">
        <v>941</v>
      </c>
      <c r="N4184">
        <v>6</v>
      </c>
    </row>
    <row r="4185" spans="1:14" x14ac:dyDescent="0.25">
      <c r="A4185" s="3" t="str">
        <f>HYPERLINK("http://www.ncbi.nlm.nih.gov/gene/25880","25880")</f>
        <v>25880</v>
      </c>
      <c r="B4185" s="1" t="s">
        <v>9766</v>
      </c>
      <c r="C4185" t="s">
        <v>9767</v>
      </c>
      <c r="D4185">
        <v>165.5</v>
      </c>
      <c r="E4185">
        <v>143.19999999999999</v>
      </c>
      <c r="F4185">
        <v>100</v>
      </c>
      <c r="G4185">
        <v>100</v>
      </c>
      <c r="H4185">
        <v>164.9</v>
      </c>
      <c r="I4185">
        <v>166.5</v>
      </c>
      <c r="J4185">
        <v>100</v>
      </c>
      <c r="K4185">
        <v>100</v>
      </c>
      <c r="L4185" s="1" t="s">
        <v>9766</v>
      </c>
      <c r="M4185" t="s">
        <v>265</v>
      </c>
      <c r="N4185">
        <v>2</v>
      </c>
    </row>
    <row r="4186" spans="1:14" x14ac:dyDescent="0.25">
      <c r="A4186" s="3" t="str">
        <f>HYPERLINK("http://www.ncbi.nlm.nih.gov/gene/147007","147007")</f>
        <v>147007</v>
      </c>
      <c r="B4186" s="1" t="s">
        <v>9768</v>
      </c>
      <c r="C4186" t="s">
        <v>9769</v>
      </c>
      <c r="D4186">
        <v>113.2</v>
      </c>
      <c r="E4186">
        <v>118.1</v>
      </c>
      <c r="F4186">
        <v>100</v>
      </c>
      <c r="G4186">
        <v>99.9</v>
      </c>
      <c r="H4186">
        <v>116.8</v>
      </c>
      <c r="I4186">
        <v>119.2</v>
      </c>
      <c r="J4186">
        <v>100</v>
      </c>
      <c r="K4186">
        <v>100</v>
      </c>
      <c r="L4186" s="1" t="s">
        <v>9768</v>
      </c>
      <c r="M4186" t="s">
        <v>116</v>
      </c>
      <c r="N4186">
        <v>3</v>
      </c>
    </row>
    <row r="4187" spans="1:14" x14ac:dyDescent="0.25">
      <c r="A4187" s="3" t="str">
        <f>HYPERLINK("http://www.ncbi.nlm.nih.gov/gene/51259","51259")</f>
        <v>51259</v>
      </c>
      <c r="B4187" s="1" t="s">
        <v>9770</v>
      </c>
      <c r="C4187" t="s">
        <v>9771</v>
      </c>
      <c r="D4187">
        <v>110.4</v>
      </c>
      <c r="E4187">
        <v>114.4</v>
      </c>
      <c r="F4187">
        <v>99.9</v>
      </c>
      <c r="G4187">
        <v>98.1</v>
      </c>
      <c r="H4187">
        <v>145.5</v>
      </c>
      <c r="I4187">
        <v>150.4</v>
      </c>
      <c r="J4187">
        <v>100</v>
      </c>
      <c r="K4187">
        <v>100</v>
      </c>
      <c r="L4187" s="1" t="s">
        <v>9770</v>
      </c>
      <c r="M4187" t="s">
        <v>2261</v>
      </c>
      <c r="N4187">
        <v>8</v>
      </c>
    </row>
    <row r="4188" spans="1:14" x14ac:dyDescent="0.25">
      <c r="A4188" s="3" t="str">
        <f>HYPERLINK("http://www.ncbi.nlm.nih.gov/gene/219854","219854")</f>
        <v>219854</v>
      </c>
      <c r="B4188" s="1" t="s">
        <v>9772</v>
      </c>
      <c r="D4188">
        <v>103.8</v>
      </c>
      <c r="E4188">
        <v>105.6</v>
      </c>
      <c r="F4188">
        <v>100</v>
      </c>
      <c r="G4188">
        <v>99.9</v>
      </c>
      <c r="H4188">
        <v>142.5</v>
      </c>
      <c r="I4188">
        <v>146</v>
      </c>
      <c r="J4188">
        <v>100</v>
      </c>
      <c r="K4188">
        <v>100</v>
      </c>
      <c r="L4188" s="1" t="s">
        <v>9772</v>
      </c>
      <c r="M4188" t="s">
        <v>1495</v>
      </c>
      <c r="N4188">
        <v>2</v>
      </c>
    </row>
    <row r="4189" spans="1:14" x14ac:dyDescent="0.25">
      <c r="A4189" s="3" t="str">
        <f>HYPERLINK("http://www.ncbi.nlm.nih.gov/gene/79583","79583")</f>
        <v>79583</v>
      </c>
      <c r="B4189" s="1" t="s">
        <v>9773</v>
      </c>
      <c r="C4189" t="s">
        <v>9774</v>
      </c>
      <c r="D4189">
        <v>107.4</v>
      </c>
      <c r="E4189">
        <v>106.4</v>
      </c>
      <c r="F4189">
        <v>100</v>
      </c>
      <c r="G4189">
        <v>99.6</v>
      </c>
      <c r="H4189">
        <v>149.1</v>
      </c>
      <c r="I4189">
        <v>151.4</v>
      </c>
      <c r="J4189">
        <v>100</v>
      </c>
      <c r="K4189">
        <v>100</v>
      </c>
      <c r="L4189" s="1" t="s">
        <v>9773</v>
      </c>
      <c r="M4189" t="s">
        <v>1711</v>
      </c>
      <c r="N4189">
        <v>7</v>
      </c>
    </row>
    <row r="4190" spans="1:14" x14ac:dyDescent="0.25">
      <c r="A4190" s="3" t="str">
        <f>HYPERLINK("http://www.ncbi.nlm.nih.gov/gene/65062","65062")</f>
        <v>65062</v>
      </c>
      <c r="B4190" s="1" t="s">
        <v>9775</v>
      </c>
      <c r="C4190" t="s">
        <v>9776</v>
      </c>
      <c r="D4190">
        <v>138.80000000000001</v>
      </c>
      <c r="E4190">
        <v>141.69999999999999</v>
      </c>
      <c r="F4190">
        <v>100</v>
      </c>
      <c r="G4190">
        <v>99.9</v>
      </c>
      <c r="H4190">
        <v>123.3</v>
      </c>
      <c r="I4190">
        <v>126.5</v>
      </c>
      <c r="J4190">
        <v>100</v>
      </c>
      <c r="K4190">
        <v>100</v>
      </c>
      <c r="L4190" s="1" t="s">
        <v>9775</v>
      </c>
      <c r="M4190" t="s">
        <v>372</v>
      </c>
      <c r="N4190">
        <v>6</v>
      </c>
    </row>
    <row r="4191" spans="1:14" x14ac:dyDescent="0.25">
      <c r="A4191" s="3" t="str">
        <f>HYPERLINK("http://www.ncbi.nlm.nih.gov/gene/339453","339453")</f>
        <v>339453</v>
      </c>
      <c r="B4191" s="1" t="s">
        <v>9777</v>
      </c>
      <c r="C4191" t="s">
        <v>9778</v>
      </c>
      <c r="D4191">
        <v>121.7</v>
      </c>
      <c r="E4191">
        <v>125.3</v>
      </c>
      <c r="F4191">
        <v>100</v>
      </c>
      <c r="G4191">
        <v>100</v>
      </c>
      <c r="H4191">
        <v>158.4</v>
      </c>
      <c r="I4191">
        <v>162.4</v>
      </c>
      <c r="J4191">
        <v>100</v>
      </c>
      <c r="K4191">
        <v>100</v>
      </c>
      <c r="L4191" s="1" t="s">
        <v>9777</v>
      </c>
      <c r="M4191" t="s">
        <v>1357</v>
      </c>
      <c r="N4191">
        <v>3</v>
      </c>
    </row>
    <row r="4192" spans="1:14" x14ac:dyDescent="0.25">
      <c r="A4192" s="3" t="str">
        <f>HYPERLINK("http://www.ncbi.nlm.nih.gov/gene/26175","26175")</f>
        <v>26175</v>
      </c>
      <c r="B4192" s="1" t="s">
        <v>9779</v>
      </c>
      <c r="C4192" t="s">
        <v>9780</v>
      </c>
      <c r="D4192">
        <v>152.6</v>
      </c>
      <c r="E4192">
        <v>160.9</v>
      </c>
      <c r="F4192">
        <v>100</v>
      </c>
      <c r="G4192">
        <v>99.5</v>
      </c>
      <c r="H4192">
        <v>210.2</v>
      </c>
      <c r="I4192">
        <v>215.4</v>
      </c>
      <c r="J4192">
        <v>100</v>
      </c>
      <c r="K4192">
        <v>100</v>
      </c>
      <c r="L4192" s="1" t="s">
        <v>9779</v>
      </c>
      <c r="M4192" t="s">
        <v>1487</v>
      </c>
      <c r="N4192">
        <v>2</v>
      </c>
    </row>
    <row r="4193" spans="1:14" x14ac:dyDescent="0.25">
      <c r="A4193" s="3" t="str">
        <f>HYPERLINK("http://www.ncbi.nlm.nih.gov/gene/54916","54916")</f>
        <v>54916</v>
      </c>
      <c r="B4193" s="1" t="s">
        <v>9781</v>
      </c>
      <c r="C4193" t="s">
        <v>9782</v>
      </c>
      <c r="D4193">
        <v>134.80000000000001</v>
      </c>
      <c r="E4193">
        <v>139.5</v>
      </c>
      <c r="F4193">
        <v>97.5</v>
      </c>
      <c r="G4193">
        <v>93.4</v>
      </c>
      <c r="H4193">
        <v>139.30000000000001</v>
      </c>
      <c r="I4193">
        <v>144.19999999999999</v>
      </c>
      <c r="J4193">
        <v>100</v>
      </c>
      <c r="K4193">
        <v>100</v>
      </c>
      <c r="L4193" s="1" t="s">
        <v>9781</v>
      </c>
      <c r="M4193" t="s">
        <v>4959</v>
      </c>
      <c r="N4193">
        <v>4</v>
      </c>
    </row>
    <row r="4194" spans="1:14" x14ac:dyDescent="0.25">
      <c r="A4194" s="3" t="str">
        <f>HYPERLINK("http://www.ncbi.nlm.nih.gov/gene/55151","55151")</f>
        <v>55151</v>
      </c>
      <c r="B4194" s="1" t="s">
        <v>9783</v>
      </c>
      <c r="C4194" t="s">
        <v>9784</v>
      </c>
      <c r="D4194">
        <v>108</v>
      </c>
      <c r="E4194">
        <v>112.2</v>
      </c>
      <c r="F4194">
        <v>100</v>
      </c>
      <c r="G4194">
        <v>99.9</v>
      </c>
      <c r="H4194">
        <v>127.8</v>
      </c>
      <c r="I4194">
        <v>131.6</v>
      </c>
      <c r="J4194">
        <v>100</v>
      </c>
      <c r="K4194">
        <v>100</v>
      </c>
      <c r="L4194" s="1" t="s">
        <v>9783</v>
      </c>
      <c r="M4194" t="s">
        <v>5904</v>
      </c>
      <c r="N4194">
        <v>3</v>
      </c>
    </row>
    <row r="4195" spans="1:14" x14ac:dyDescent="0.25">
      <c r="A4195" s="3" t="str">
        <f>HYPERLINK("http://www.ncbi.nlm.nih.gov/gene/79188","79188")</f>
        <v>79188</v>
      </c>
      <c r="B4195" s="1" t="s">
        <v>9785</v>
      </c>
      <c r="C4195" t="s">
        <v>9786</v>
      </c>
      <c r="D4195">
        <v>133.30000000000001</v>
      </c>
      <c r="E4195">
        <v>137.69999999999999</v>
      </c>
      <c r="F4195">
        <v>99.9</v>
      </c>
      <c r="G4195">
        <v>98.9</v>
      </c>
      <c r="H4195">
        <v>127.7</v>
      </c>
      <c r="I4195">
        <v>130.80000000000001</v>
      </c>
      <c r="J4195">
        <v>100</v>
      </c>
      <c r="K4195">
        <v>100</v>
      </c>
      <c r="L4195" s="1" t="s">
        <v>9785</v>
      </c>
      <c r="M4195" t="s">
        <v>197</v>
      </c>
      <c r="N4195">
        <v>2</v>
      </c>
    </row>
    <row r="4196" spans="1:14" x14ac:dyDescent="0.25">
      <c r="A4196" s="3" t="str">
        <f>HYPERLINK("http://www.ncbi.nlm.nih.gov/gene/9725","9725")</f>
        <v>9725</v>
      </c>
      <c r="B4196" s="1" t="s">
        <v>9787</v>
      </c>
      <c r="C4196" t="s">
        <v>9788</v>
      </c>
      <c r="D4196">
        <v>100.6</v>
      </c>
      <c r="E4196">
        <v>103.6</v>
      </c>
      <c r="F4196">
        <v>100</v>
      </c>
      <c r="G4196">
        <v>99.9</v>
      </c>
      <c r="H4196">
        <v>130</v>
      </c>
      <c r="I4196">
        <v>133.30000000000001</v>
      </c>
      <c r="J4196">
        <v>100</v>
      </c>
      <c r="K4196">
        <v>100</v>
      </c>
      <c r="L4196" s="1" t="s">
        <v>9787</v>
      </c>
      <c r="M4196" t="s">
        <v>189</v>
      </c>
      <c r="N4196">
        <v>2</v>
      </c>
    </row>
    <row r="4197" spans="1:14" x14ac:dyDescent="0.25">
      <c r="A4197" s="3" t="str">
        <f>HYPERLINK("http://www.ncbi.nlm.nih.gov/gene/157378","157378")</f>
        <v>157378</v>
      </c>
      <c r="B4197" s="1" t="s">
        <v>9789</v>
      </c>
      <c r="D4197">
        <v>67</v>
      </c>
      <c r="E4197">
        <v>64.8</v>
      </c>
      <c r="F4197">
        <v>88</v>
      </c>
      <c r="G4197">
        <v>81.3</v>
      </c>
      <c r="H4197">
        <v>91.9</v>
      </c>
      <c r="I4197">
        <v>90.7</v>
      </c>
      <c r="J4197">
        <v>92.5</v>
      </c>
      <c r="K4197">
        <v>85.3</v>
      </c>
      <c r="L4197" s="1" t="s">
        <v>9789</v>
      </c>
      <c r="M4197" t="s">
        <v>265</v>
      </c>
      <c r="N4197">
        <v>2</v>
      </c>
    </row>
    <row r="4198" spans="1:14" x14ac:dyDescent="0.25">
      <c r="A4198" s="3" t="str">
        <f>HYPERLINK("http://www.ncbi.nlm.nih.gov/gene/91147","91147")</f>
        <v>91147</v>
      </c>
      <c r="B4198" s="1" t="s">
        <v>9790</v>
      </c>
      <c r="C4198" t="s">
        <v>9791</v>
      </c>
      <c r="D4198">
        <v>94.6</v>
      </c>
      <c r="E4198">
        <v>96.9</v>
      </c>
      <c r="F4198">
        <v>99.5</v>
      </c>
      <c r="G4198">
        <v>95</v>
      </c>
      <c r="H4198">
        <v>112.7</v>
      </c>
      <c r="I4198">
        <v>115.5</v>
      </c>
      <c r="J4198">
        <v>100</v>
      </c>
      <c r="K4198">
        <v>99.9</v>
      </c>
      <c r="L4198" s="1" t="s">
        <v>9790</v>
      </c>
      <c r="M4198" t="s">
        <v>9792</v>
      </c>
      <c r="N4198">
        <v>9</v>
      </c>
    </row>
    <row r="4199" spans="1:14" x14ac:dyDescent="0.25">
      <c r="A4199" s="3" t="str">
        <f>HYPERLINK("http://www.ncbi.nlm.nih.gov/gene/54968","54968")</f>
        <v>54968</v>
      </c>
      <c r="B4199" s="1" t="s">
        <v>9793</v>
      </c>
      <c r="C4199" t="s">
        <v>9794</v>
      </c>
      <c r="D4199">
        <v>131.9</v>
      </c>
      <c r="E4199">
        <v>130.19999999999999</v>
      </c>
      <c r="F4199">
        <v>98</v>
      </c>
      <c r="G4199">
        <v>93.9</v>
      </c>
      <c r="H4199">
        <v>137.30000000000001</v>
      </c>
      <c r="I4199">
        <v>139.1</v>
      </c>
      <c r="J4199">
        <v>100</v>
      </c>
      <c r="K4199">
        <v>100</v>
      </c>
      <c r="L4199" s="1" t="s">
        <v>9793</v>
      </c>
      <c r="M4199" t="s">
        <v>1330</v>
      </c>
      <c r="N4199">
        <v>5</v>
      </c>
    </row>
    <row r="4200" spans="1:14" x14ac:dyDescent="0.25">
      <c r="A4200" s="3" t="str">
        <f>HYPERLINK("http://www.ncbi.nlm.nih.gov/gene/9772","9772")</f>
        <v>9772</v>
      </c>
      <c r="B4200" s="1" t="s">
        <v>9795</v>
      </c>
      <c r="C4200" t="s">
        <v>9796</v>
      </c>
      <c r="D4200">
        <v>169.2</v>
      </c>
      <c r="E4200">
        <v>174.3</v>
      </c>
      <c r="F4200">
        <v>100</v>
      </c>
      <c r="G4200">
        <v>100</v>
      </c>
      <c r="H4200">
        <v>146.1</v>
      </c>
      <c r="I4200">
        <v>150.19999999999999</v>
      </c>
      <c r="J4200">
        <v>100</v>
      </c>
      <c r="K4200">
        <v>100</v>
      </c>
      <c r="L4200" s="1" t="s">
        <v>9795</v>
      </c>
      <c r="M4200" t="s">
        <v>53</v>
      </c>
      <c r="N4200">
        <v>2</v>
      </c>
    </row>
    <row r="4201" spans="1:14" x14ac:dyDescent="0.25">
      <c r="A4201" s="3" t="str">
        <f>HYPERLINK("http://www.ncbi.nlm.nih.gov/gene/26022","26022")</f>
        <v>26022</v>
      </c>
      <c r="B4201" s="1" t="s">
        <v>9797</v>
      </c>
      <c r="C4201" t="s">
        <v>9798</v>
      </c>
      <c r="D4201">
        <v>137.1</v>
      </c>
      <c r="E4201">
        <v>140.69999999999999</v>
      </c>
      <c r="F4201">
        <v>99.3</v>
      </c>
      <c r="G4201">
        <v>97.8</v>
      </c>
      <c r="H4201">
        <v>124.6</v>
      </c>
      <c r="I4201">
        <v>128</v>
      </c>
      <c r="J4201">
        <v>100</v>
      </c>
      <c r="K4201">
        <v>100</v>
      </c>
      <c r="L4201" s="1" t="s">
        <v>9797</v>
      </c>
      <c r="M4201" t="s">
        <v>302</v>
      </c>
      <c r="N4201">
        <v>2</v>
      </c>
    </row>
    <row r="4202" spans="1:14" x14ac:dyDescent="0.25">
      <c r="A4202" s="3" t="str">
        <f>HYPERLINK("http://www.ncbi.nlm.nih.gov/gene/259236","259236")</f>
        <v>259236</v>
      </c>
      <c r="B4202" s="1" t="s">
        <v>9799</v>
      </c>
      <c r="C4202" t="s">
        <v>9800</v>
      </c>
      <c r="D4202">
        <v>114.1</v>
      </c>
      <c r="E4202">
        <v>116.5</v>
      </c>
      <c r="F4202">
        <v>99.2</v>
      </c>
      <c r="G4202">
        <v>95.1</v>
      </c>
      <c r="H4202">
        <v>114.6</v>
      </c>
      <c r="I4202">
        <v>117.6</v>
      </c>
      <c r="J4202">
        <v>100</v>
      </c>
      <c r="K4202">
        <v>100</v>
      </c>
      <c r="L4202" s="1" t="s">
        <v>9799</v>
      </c>
      <c r="M4202" t="s">
        <v>269</v>
      </c>
      <c r="N4202">
        <v>3</v>
      </c>
    </row>
    <row r="4203" spans="1:14" x14ac:dyDescent="0.25">
      <c r="A4203" s="3" t="str">
        <f>HYPERLINK("http://www.ncbi.nlm.nih.gov/gene/55217","55217")</f>
        <v>55217</v>
      </c>
      <c r="B4203" s="1" t="s">
        <v>9801</v>
      </c>
      <c r="C4203" t="s">
        <v>9802</v>
      </c>
      <c r="D4203">
        <v>95.7</v>
      </c>
      <c r="E4203">
        <v>99.9</v>
      </c>
      <c r="F4203">
        <v>99.5</v>
      </c>
      <c r="G4203">
        <v>97.1</v>
      </c>
      <c r="H4203">
        <v>121.6</v>
      </c>
      <c r="I4203">
        <v>125.8</v>
      </c>
      <c r="J4203">
        <v>100</v>
      </c>
      <c r="K4203">
        <v>99.9</v>
      </c>
      <c r="L4203" s="1" t="s">
        <v>9801</v>
      </c>
      <c r="M4203" t="s">
        <v>9803</v>
      </c>
      <c r="N4203">
        <v>3</v>
      </c>
    </row>
    <row r="4204" spans="1:14" x14ac:dyDescent="0.25">
      <c r="A4204" s="3" t="str">
        <f>HYPERLINK("http://www.ncbi.nlm.nih.gov/gene/7112","7112")</f>
        <v>7112</v>
      </c>
      <c r="B4204" s="1" t="s">
        <v>9804</v>
      </c>
      <c r="C4204" t="s">
        <v>9805</v>
      </c>
      <c r="D4204">
        <v>148.19999999999999</v>
      </c>
      <c r="E4204">
        <v>148.69999999999999</v>
      </c>
      <c r="F4204">
        <v>98.4</v>
      </c>
      <c r="G4204">
        <v>94.7</v>
      </c>
      <c r="H4204">
        <v>123</v>
      </c>
      <c r="I4204">
        <v>123.9</v>
      </c>
      <c r="J4204">
        <v>100</v>
      </c>
      <c r="K4204">
        <v>100</v>
      </c>
      <c r="L4204" s="1" t="s">
        <v>9804</v>
      </c>
      <c r="M4204" t="s">
        <v>197</v>
      </c>
      <c r="N4204">
        <v>2</v>
      </c>
    </row>
    <row r="4205" spans="1:14" x14ac:dyDescent="0.25">
      <c r="A4205" s="3" t="str">
        <f>HYPERLINK("http://www.ncbi.nlm.nih.gov/gene/5651","5651")</f>
        <v>5651</v>
      </c>
      <c r="B4205" s="1" t="s">
        <v>9806</v>
      </c>
      <c r="C4205" t="s">
        <v>9807</v>
      </c>
      <c r="D4205">
        <v>122.9</v>
      </c>
      <c r="E4205">
        <v>127.9</v>
      </c>
      <c r="F4205">
        <v>98.5</v>
      </c>
      <c r="G4205">
        <v>95.2</v>
      </c>
      <c r="H4205">
        <v>134</v>
      </c>
      <c r="I4205">
        <v>137.69999999999999</v>
      </c>
      <c r="J4205">
        <v>100</v>
      </c>
      <c r="K4205">
        <v>100</v>
      </c>
      <c r="L4205" s="1" t="s">
        <v>9806</v>
      </c>
      <c r="M4205" t="s">
        <v>53</v>
      </c>
      <c r="N4205">
        <v>2</v>
      </c>
    </row>
    <row r="4206" spans="1:14" x14ac:dyDescent="0.25">
      <c r="A4206" s="3" t="str">
        <f>HYPERLINK("http://www.ncbi.nlm.nih.gov/gene/64699","64699")</f>
        <v>64699</v>
      </c>
      <c r="B4206" s="1" t="s">
        <v>9808</v>
      </c>
      <c r="C4206" t="s">
        <v>9809</v>
      </c>
      <c r="D4206">
        <v>112.1</v>
      </c>
      <c r="E4206">
        <v>116.6</v>
      </c>
      <c r="F4206">
        <v>100</v>
      </c>
      <c r="G4206">
        <v>99.9</v>
      </c>
      <c r="H4206">
        <v>141.19999999999999</v>
      </c>
      <c r="I4206">
        <v>144.80000000000001</v>
      </c>
      <c r="J4206">
        <v>100</v>
      </c>
      <c r="K4206">
        <v>100</v>
      </c>
      <c r="L4206" s="1" t="s">
        <v>9808</v>
      </c>
      <c r="M4206" t="s">
        <v>269</v>
      </c>
      <c r="N4206">
        <v>3</v>
      </c>
    </row>
    <row r="4207" spans="1:14" x14ac:dyDescent="0.25">
      <c r="A4207" s="3" t="str">
        <f>HYPERLINK("http://www.ncbi.nlm.nih.gov/gene/164656","164656")</f>
        <v>164656</v>
      </c>
      <c r="B4207" s="1" t="s">
        <v>9810</v>
      </c>
      <c r="C4207" t="s">
        <v>9811</v>
      </c>
      <c r="D4207">
        <v>111.2</v>
      </c>
      <c r="E4207">
        <v>113</v>
      </c>
      <c r="F4207">
        <v>99.9</v>
      </c>
      <c r="G4207">
        <v>99.1</v>
      </c>
      <c r="H4207">
        <v>151</v>
      </c>
      <c r="I4207">
        <v>155.6</v>
      </c>
      <c r="J4207">
        <v>100</v>
      </c>
      <c r="K4207">
        <v>100</v>
      </c>
      <c r="L4207" s="1" t="s">
        <v>9810</v>
      </c>
      <c r="M4207" t="s">
        <v>9812</v>
      </c>
      <c r="N4207">
        <v>3</v>
      </c>
    </row>
    <row r="4208" spans="1:14" x14ac:dyDescent="0.25">
      <c r="A4208" s="3" t="str">
        <f>HYPERLINK("http://www.ncbi.nlm.nih.gov/gene/160335","160335")</f>
        <v>160335</v>
      </c>
      <c r="B4208" s="1" t="s">
        <v>9813</v>
      </c>
      <c r="C4208" t="s">
        <v>9814</v>
      </c>
      <c r="D4208">
        <v>170.7</v>
      </c>
      <c r="E4208">
        <v>172.1</v>
      </c>
      <c r="F4208">
        <v>97.5</v>
      </c>
      <c r="G4208">
        <v>97.5</v>
      </c>
      <c r="H4208">
        <v>134.69999999999999</v>
      </c>
      <c r="I4208">
        <v>137.30000000000001</v>
      </c>
      <c r="J4208">
        <v>97.5</v>
      </c>
      <c r="K4208">
        <v>97.5</v>
      </c>
      <c r="L4208" s="1" t="s">
        <v>9813</v>
      </c>
      <c r="M4208" t="s">
        <v>76</v>
      </c>
      <c r="N4208">
        <v>2</v>
      </c>
    </row>
    <row r="4209" spans="1:14" x14ac:dyDescent="0.25">
      <c r="A4209" s="3" t="str">
        <f>HYPERLINK("http://www.ncbi.nlm.nih.gov/gene/160418","160418")</f>
        <v>160418</v>
      </c>
      <c r="B4209" s="1" t="s">
        <v>9815</v>
      </c>
      <c r="C4209" t="s">
        <v>9816</v>
      </c>
      <c r="D4209">
        <v>111.3</v>
      </c>
      <c r="E4209">
        <v>110.7</v>
      </c>
      <c r="F4209">
        <v>99.6</v>
      </c>
      <c r="G4209">
        <v>96.5</v>
      </c>
      <c r="H4209">
        <v>124.9</v>
      </c>
      <c r="I4209">
        <v>128.5</v>
      </c>
      <c r="J4209">
        <v>100</v>
      </c>
      <c r="K4209">
        <v>100</v>
      </c>
      <c r="L4209" s="1" t="s">
        <v>9815</v>
      </c>
      <c r="M4209" t="s">
        <v>228</v>
      </c>
      <c r="N4209">
        <v>3</v>
      </c>
    </row>
    <row r="4210" spans="1:14" x14ac:dyDescent="0.25">
      <c r="A4210" s="3" t="str">
        <f>HYPERLINK("http://www.ncbi.nlm.nih.gov/gene/51075","51075")</f>
        <v>51075</v>
      </c>
      <c r="B4210" s="1" t="s">
        <v>9817</v>
      </c>
      <c r="C4210" t="s">
        <v>9818</v>
      </c>
      <c r="D4210">
        <v>149.19999999999999</v>
      </c>
      <c r="E4210">
        <v>150.69999999999999</v>
      </c>
      <c r="F4210">
        <v>100</v>
      </c>
      <c r="G4210">
        <v>99.8</v>
      </c>
      <c r="H4210">
        <v>157.4</v>
      </c>
      <c r="I4210">
        <v>162.30000000000001</v>
      </c>
      <c r="J4210">
        <v>100</v>
      </c>
      <c r="K4210">
        <v>100</v>
      </c>
      <c r="L4210" s="1" t="s">
        <v>9817</v>
      </c>
      <c r="M4210" t="s">
        <v>1742</v>
      </c>
      <c r="N4210">
        <v>3</v>
      </c>
    </row>
    <row r="4211" spans="1:14" x14ac:dyDescent="0.25">
      <c r="A4211" s="3" t="str">
        <f>HYPERLINK("http://www.ncbi.nlm.nih.gov/gene/3371","3371")</f>
        <v>3371</v>
      </c>
      <c r="B4211" s="1" t="s">
        <v>9819</v>
      </c>
      <c r="C4211" t="s">
        <v>9820</v>
      </c>
      <c r="D4211">
        <v>151.1</v>
      </c>
      <c r="E4211">
        <v>158</v>
      </c>
      <c r="F4211">
        <v>100</v>
      </c>
      <c r="G4211">
        <v>99.8</v>
      </c>
      <c r="H4211">
        <v>150.5</v>
      </c>
      <c r="I4211">
        <v>154.6</v>
      </c>
      <c r="J4211">
        <v>100</v>
      </c>
      <c r="K4211">
        <v>100</v>
      </c>
      <c r="L4211" s="1" t="s">
        <v>9819</v>
      </c>
      <c r="M4211" t="s">
        <v>76</v>
      </c>
      <c r="N4211">
        <v>2</v>
      </c>
    </row>
    <row r="4212" spans="1:14" x14ac:dyDescent="0.25">
      <c r="A4212" s="3" t="str">
        <f>HYPERLINK("http://www.ncbi.nlm.nih.gov/gene/7128","7128")</f>
        <v>7128</v>
      </c>
      <c r="B4212" s="1" t="s">
        <v>9821</v>
      </c>
      <c r="C4212" t="s">
        <v>9822</v>
      </c>
      <c r="D4212">
        <v>170.9</v>
      </c>
      <c r="E4212">
        <v>176.4</v>
      </c>
      <c r="F4212">
        <v>100</v>
      </c>
      <c r="G4212">
        <v>100</v>
      </c>
      <c r="H4212">
        <v>151.6</v>
      </c>
      <c r="I4212">
        <v>155.4</v>
      </c>
      <c r="J4212">
        <v>100</v>
      </c>
      <c r="K4212">
        <v>100</v>
      </c>
      <c r="L4212" s="1" t="s">
        <v>9821</v>
      </c>
      <c r="M4212" t="s">
        <v>562</v>
      </c>
      <c r="N4212">
        <v>2</v>
      </c>
    </row>
    <row r="4213" spans="1:14" x14ac:dyDescent="0.25">
      <c r="A4213" s="3" t="str">
        <f>HYPERLINK("http://www.ncbi.nlm.nih.gov/gene/8795","8795")</f>
        <v>8795</v>
      </c>
      <c r="B4213" s="1" t="s">
        <v>9823</v>
      </c>
      <c r="C4213" t="s">
        <v>9824</v>
      </c>
      <c r="D4213">
        <v>127.8</v>
      </c>
      <c r="E4213">
        <v>132</v>
      </c>
      <c r="F4213">
        <v>100</v>
      </c>
      <c r="G4213">
        <v>100</v>
      </c>
      <c r="H4213">
        <v>144.1</v>
      </c>
      <c r="I4213">
        <v>149.4</v>
      </c>
      <c r="J4213">
        <v>100</v>
      </c>
      <c r="K4213">
        <v>100</v>
      </c>
      <c r="L4213" s="1" t="s">
        <v>9823</v>
      </c>
      <c r="M4213" t="s">
        <v>59</v>
      </c>
      <c r="N4213">
        <v>1</v>
      </c>
    </row>
    <row r="4214" spans="1:14" x14ac:dyDescent="0.25">
      <c r="A4214" s="3" t="str">
        <f>HYPERLINK("http://www.ncbi.nlm.nih.gov/gene/8792","8792")</f>
        <v>8792</v>
      </c>
      <c r="B4214" s="1" t="s">
        <v>9825</v>
      </c>
      <c r="C4214" t="s">
        <v>9826</v>
      </c>
      <c r="D4214">
        <v>137.69999999999999</v>
      </c>
      <c r="E4214">
        <v>141.5</v>
      </c>
      <c r="F4214">
        <v>94.6</v>
      </c>
      <c r="G4214">
        <v>93.3</v>
      </c>
      <c r="H4214">
        <v>136.80000000000001</v>
      </c>
      <c r="I4214">
        <v>138.69999999999999</v>
      </c>
      <c r="J4214">
        <v>99.2</v>
      </c>
      <c r="K4214">
        <v>98</v>
      </c>
      <c r="L4214" s="1" t="s">
        <v>9825</v>
      </c>
      <c r="M4214" t="s">
        <v>9827</v>
      </c>
      <c r="N4214">
        <v>6</v>
      </c>
    </row>
    <row r="4215" spans="1:14" x14ac:dyDescent="0.25">
      <c r="A4215" s="3" t="str">
        <f>HYPERLINK("http://www.ncbi.nlm.nih.gov/gene/4982","4982")</f>
        <v>4982</v>
      </c>
      <c r="B4215" s="1" t="s">
        <v>9828</v>
      </c>
      <c r="C4215" t="s">
        <v>9829</v>
      </c>
      <c r="D4215">
        <v>225.7</v>
      </c>
      <c r="E4215">
        <v>229.1</v>
      </c>
      <c r="F4215">
        <v>100</v>
      </c>
      <c r="G4215">
        <v>100</v>
      </c>
      <c r="H4215">
        <v>137.6</v>
      </c>
      <c r="I4215">
        <v>141.9</v>
      </c>
      <c r="J4215">
        <v>100</v>
      </c>
      <c r="K4215">
        <v>100</v>
      </c>
      <c r="L4215" s="1" t="s">
        <v>9828</v>
      </c>
      <c r="M4215" t="s">
        <v>239</v>
      </c>
      <c r="N4215">
        <v>4</v>
      </c>
    </row>
    <row r="4216" spans="1:14" x14ac:dyDescent="0.25">
      <c r="A4216" s="3" t="str">
        <f>HYPERLINK("http://www.ncbi.nlm.nih.gov/gene/23495","23495")</f>
        <v>23495</v>
      </c>
      <c r="B4216" s="1" t="s">
        <v>9830</v>
      </c>
      <c r="C4216" t="s">
        <v>9831</v>
      </c>
      <c r="D4216">
        <v>99.4</v>
      </c>
      <c r="E4216">
        <v>106.3</v>
      </c>
      <c r="F4216">
        <v>100</v>
      </c>
      <c r="G4216">
        <v>100</v>
      </c>
      <c r="H4216">
        <v>143.6</v>
      </c>
      <c r="I4216">
        <v>148.30000000000001</v>
      </c>
      <c r="J4216">
        <v>100</v>
      </c>
      <c r="K4216">
        <v>100</v>
      </c>
      <c r="L4216" s="1" t="s">
        <v>9830</v>
      </c>
      <c r="M4216" t="s">
        <v>379</v>
      </c>
      <c r="N4216">
        <v>3</v>
      </c>
    </row>
    <row r="4217" spans="1:14" x14ac:dyDescent="0.25">
      <c r="A4217" s="3" t="str">
        <f>HYPERLINK("http://www.ncbi.nlm.nih.gov/gene/115650","115650")</f>
        <v>115650</v>
      </c>
      <c r="B4217" s="1" t="s">
        <v>9832</v>
      </c>
      <c r="C4217" t="s">
        <v>9833</v>
      </c>
      <c r="D4217">
        <v>88.2</v>
      </c>
      <c r="E4217">
        <v>97.5</v>
      </c>
      <c r="F4217">
        <v>80.099999999999994</v>
      </c>
      <c r="G4217">
        <v>75.400000000000006</v>
      </c>
      <c r="H4217">
        <v>108.4</v>
      </c>
      <c r="I4217">
        <v>114.6</v>
      </c>
      <c r="J4217">
        <v>100</v>
      </c>
      <c r="K4217">
        <v>99.9</v>
      </c>
      <c r="L4217" s="1" t="s">
        <v>9832</v>
      </c>
      <c r="M4217" t="s">
        <v>1097</v>
      </c>
      <c r="N4217">
        <v>3</v>
      </c>
    </row>
    <row r="4218" spans="1:14" x14ac:dyDescent="0.25">
      <c r="A4218" s="3" t="str">
        <f>HYPERLINK("http://www.ncbi.nlm.nih.gov/gene/7132","7132")</f>
        <v>7132</v>
      </c>
      <c r="B4218" s="1" t="s">
        <v>9834</v>
      </c>
      <c r="C4218" t="s">
        <v>9835</v>
      </c>
      <c r="D4218">
        <v>90.9</v>
      </c>
      <c r="E4218">
        <v>95</v>
      </c>
      <c r="F4218">
        <v>90.6</v>
      </c>
      <c r="G4218">
        <v>87.6</v>
      </c>
      <c r="H4218">
        <v>158.5</v>
      </c>
      <c r="I4218">
        <v>163.4</v>
      </c>
      <c r="J4218">
        <v>92.8</v>
      </c>
      <c r="K4218">
        <v>92.8</v>
      </c>
      <c r="L4218" s="1" t="s">
        <v>9834</v>
      </c>
      <c r="M4218" t="s">
        <v>627</v>
      </c>
      <c r="N4218">
        <v>3</v>
      </c>
    </row>
    <row r="4219" spans="1:14" x14ac:dyDescent="0.25">
      <c r="A4219" s="3" t="str">
        <f>HYPERLINK("http://www.ncbi.nlm.nih.gov/gene/7293","7293")</f>
        <v>7293</v>
      </c>
      <c r="B4219" s="1" t="s">
        <v>9836</v>
      </c>
      <c r="C4219" t="s">
        <v>9837</v>
      </c>
      <c r="D4219">
        <v>64</v>
      </c>
      <c r="E4219">
        <v>66.3</v>
      </c>
      <c r="F4219">
        <v>99.4</v>
      </c>
      <c r="G4219">
        <v>95.4</v>
      </c>
      <c r="H4219">
        <v>144.6</v>
      </c>
      <c r="I4219">
        <v>148.4</v>
      </c>
      <c r="J4219">
        <v>100</v>
      </c>
      <c r="K4219">
        <v>100</v>
      </c>
      <c r="L4219" s="1" t="s">
        <v>9836</v>
      </c>
      <c r="M4219" t="s">
        <v>1097</v>
      </c>
      <c r="N4219">
        <v>3</v>
      </c>
    </row>
    <row r="4220" spans="1:14" x14ac:dyDescent="0.25">
      <c r="A4220" s="3" t="str">
        <f>HYPERLINK("http://www.ncbi.nlm.nih.gov/gene/3604","3604")</f>
        <v>3604</v>
      </c>
      <c r="B4220" s="1" t="s">
        <v>9838</v>
      </c>
      <c r="C4220" t="s">
        <v>9839</v>
      </c>
      <c r="D4220">
        <v>152.80000000000001</v>
      </c>
      <c r="E4220">
        <v>157.19999999999999</v>
      </c>
      <c r="F4220">
        <v>100</v>
      </c>
      <c r="G4220">
        <v>100</v>
      </c>
      <c r="H4220">
        <v>136.69999999999999</v>
      </c>
      <c r="I4220">
        <v>140.19999999999999</v>
      </c>
      <c r="J4220">
        <v>100</v>
      </c>
      <c r="K4220">
        <v>100</v>
      </c>
      <c r="L4220" s="1" t="s">
        <v>9838</v>
      </c>
      <c r="M4220" t="s">
        <v>502</v>
      </c>
      <c r="N4220">
        <v>2</v>
      </c>
    </row>
    <row r="4221" spans="1:14" x14ac:dyDescent="0.25">
      <c r="A4221" s="3" t="str">
        <f>HYPERLINK("http://www.ncbi.nlm.nih.gov/gene/8600","8600")</f>
        <v>8600</v>
      </c>
      <c r="B4221" s="1" t="s">
        <v>9840</v>
      </c>
      <c r="C4221" t="s">
        <v>9841</v>
      </c>
      <c r="D4221">
        <v>150.6</v>
      </c>
      <c r="E4221">
        <v>156.69999999999999</v>
      </c>
      <c r="F4221">
        <v>100</v>
      </c>
      <c r="G4221">
        <v>99.9</v>
      </c>
      <c r="H4221">
        <v>132.6</v>
      </c>
      <c r="I4221">
        <v>135.80000000000001</v>
      </c>
      <c r="J4221">
        <v>100</v>
      </c>
      <c r="K4221">
        <v>100</v>
      </c>
      <c r="L4221" s="1" t="s">
        <v>9840</v>
      </c>
      <c r="M4221" t="s">
        <v>4730</v>
      </c>
      <c r="N4221">
        <v>5</v>
      </c>
    </row>
    <row r="4222" spans="1:14" x14ac:dyDescent="0.25">
      <c r="A4222" s="3" t="str">
        <f>HYPERLINK("http://www.ncbi.nlm.nih.gov/gene/8742","8742")</f>
        <v>8742</v>
      </c>
      <c r="B4222" s="1" t="s">
        <v>9842</v>
      </c>
      <c r="C4222" t="s">
        <v>9843</v>
      </c>
      <c r="D4222">
        <v>89</v>
      </c>
      <c r="E4222">
        <v>89.6</v>
      </c>
      <c r="F4222">
        <v>98</v>
      </c>
      <c r="G4222">
        <v>93.6</v>
      </c>
      <c r="H4222">
        <v>148.80000000000001</v>
      </c>
      <c r="I4222">
        <v>154.30000000000001</v>
      </c>
      <c r="J4222">
        <v>100</v>
      </c>
      <c r="K4222">
        <v>100</v>
      </c>
      <c r="L4222" s="1" t="s">
        <v>9842</v>
      </c>
      <c r="M4222" t="s">
        <v>562</v>
      </c>
      <c r="N4222">
        <v>2</v>
      </c>
    </row>
    <row r="4223" spans="1:14" x14ac:dyDescent="0.25">
      <c r="A4223" s="3" t="str">
        <f>HYPERLINK("http://www.ncbi.nlm.nih.gov/gene/8741","8741")</f>
        <v>8741</v>
      </c>
      <c r="B4223" s="1" t="s">
        <v>9844</v>
      </c>
      <c r="C4223" t="s">
        <v>9845</v>
      </c>
      <c r="D4223">
        <v>88.7</v>
      </c>
      <c r="E4223">
        <v>89.3</v>
      </c>
      <c r="F4223">
        <v>98.2</v>
      </c>
      <c r="G4223">
        <v>92.4</v>
      </c>
      <c r="H4223">
        <v>119.2</v>
      </c>
      <c r="I4223">
        <v>122.7</v>
      </c>
      <c r="J4223">
        <v>100</v>
      </c>
      <c r="K4223">
        <v>100</v>
      </c>
      <c r="L4223" s="1" t="s">
        <v>9844</v>
      </c>
      <c r="M4223" t="s">
        <v>502</v>
      </c>
      <c r="N4223">
        <v>2</v>
      </c>
    </row>
    <row r="4224" spans="1:14" x14ac:dyDescent="0.25">
      <c r="A4224" s="3" t="str">
        <f>HYPERLINK("http://www.ncbi.nlm.nih.gov/gene/23043","23043")</f>
        <v>23043</v>
      </c>
      <c r="B4224" s="1" t="s">
        <v>9846</v>
      </c>
      <c r="C4224" s="2">
        <v>19784</v>
      </c>
      <c r="D4224">
        <v>132.1</v>
      </c>
      <c r="E4224">
        <v>136.4</v>
      </c>
      <c r="F4224">
        <v>100</v>
      </c>
      <c r="G4224">
        <v>99.3</v>
      </c>
      <c r="H4224">
        <v>138.1</v>
      </c>
      <c r="I4224">
        <v>142.19999999999999</v>
      </c>
      <c r="J4224">
        <v>100</v>
      </c>
      <c r="K4224">
        <v>100</v>
      </c>
      <c r="L4224" s="1" t="s">
        <v>9846</v>
      </c>
      <c r="M4224" t="s">
        <v>228</v>
      </c>
      <c r="N4224">
        <v>3</v>
      </c>
    </row>
    <row r="4225" spans="1:14" x14ac:dyDescent="0.25">
      <c r="A4225" s="3" t="str">
        <f>HYPERLINK("http://www.ncbi.nlm.nih.gov/gene/7134","7134")</f>
        <v>7134</v>
      </c>
      <c r="B4225" s="1" t="s">
        <v>9847</v>
      </c>
      <c r="C4225" t="s">
        <v>9848</v>
      </c>
      <c r="D4225">
        <v>188.8</v>
      </c>
      <c r="E4225">
        <v>194</v>
      </c>
      <c r="F4225">
        <v>100</v>
      </c>
      <c r="G4225">
        <v>100</v>
      </c>
      <c r="H4225">
        <v>151.30000000000001</v>
      </c>
      <c r="I4225">
        <v>155.5</v>
      </c>
      <c r="J4225">
        <v>100</v>
      </c>
      <c r="K4225">
        <v>100</v>
      </c>
      <c r="L4225" s="1" t="s">
        <v>9847</v>
      </c>
      <c r="M4225" t="s">
        <v>197</v>
      </c>
      <c r="N4225">
        <v>2</v>
      </c>
    </row>
    <row r="4226" spans="1:14" x14ac:dyDescent="0.25">
      <c r="A4226" s="3" t="str">
        <f>HYPERLINK("http://www.ncbi.nlm.nih.gov/gene/7136","7136")</f>
        <v>7136</v>
      </c>
      <c r="B4226" s="1" t="s">
        <v>9849</v>
      </c>
      <c r="C4226" t="s">
        <v>9850</v>
      </c>
      <c r="D4226">
        <v>128</v>
      </c>
      <c r="E4226">
        <v>130.30000000000001</v>
      </c>
      <c r="F4226">
        <v>100</v>
      </c>
      <c r="G4226">
        <v>99.7</v>
      </c>
      <c r="H4226">
        <v>128.1</v>
      </c>
      <c r="I4226">
        <v>130.30000000000001</v>
      </c>
      <c r="J4226">
        <v>100</v>
      </c>
      <c r="K4226">
        <v>100</v>
      </c>
      <c r="L4226" s="1" t="s">
        <v>9849</v>
      </c>
      <c r="M4226" t="s">
        <v>9851</v>
      </c>
      <c r="N4226">
        <v>3</v>
      </c>
    </row>
    <row r="4227" spans="1:14" x14ac:dyDescent="0.25">
      <c r="A4227" s="3" t="str">
        <f>HYPERLINK("http://www.ncbi.nlm.nih.gov/gene/7137","7137")</f>
        <v>7137</v>
      </c>
      <c r="B4227" s="1" t="s">
        <v>9852</v>
      </c>
      <c r="C4227" t="s">
        <v>9853</v>
      </c>
      <c r="D4227">
        <v>141.1</v>
      </c>
      <c r="E4227">
        <v>150.19999999999999</v>
      </c>
      <c r="F4227">
        <v>99.7</v>
      </c>
      <c r="G4227">
        <v>95.4</v>
      </c>
      <c r="H4227">
        <v>116</v>
      </c>
      <c r="I4227">
        <v>118.6</v>
      </c>
      <c r="J4227">
        <v>100</v>
      </c>
      <c r="K4227">
        <v>100</v>
      </c>
      <c r="L4227" s="1" t="s">
        <v>9852</v>
      </c>
      <c r="M4227" t="s">
        <v>9854</v>
      </c>
      <c r="N4227">
        <v>3</v>
      </c>
    </row>
    <row r="4228" spans="1:14" x14ac:dyDescent="0.25">
      <c r="A4228" s="3" t="str">
        <f>HYPERLINK("http://www.ncbi.nlm.nih.gov/gene/51086","51086")</f>
        <v>51086</v>
      </c>
      <c r="B4228" s="1" t="s">
        <v>9855</v>
      </c>
      <c r="C4228" t="s">
        <v>9856</v>
      </c>
      <c r="D4228">
        <v>126.8</v>
      </c>
      <c r="E4228">
        <v>128.4</v>
      </c>
      <c r="F4228">
        <v>100</v>
      </c>
      <c r="G4228">
        <v>99.4</v>
      </c>
      <c r="H4228">
        <v>136.80000000000001</v>
      </c>
      <c r="I4228">
        <v>140.19999999999999</v>
      </c>
      <c r="J4228">
        <v>100</v>
      </c>
      <c r="K4228">
        <v>100</v>
      </c>
      <c r="L4228" s="1" t="s">
        <v>9855</v>
      </c>
      <c r="M4228" t="s">
        <v>180</v>
      </c>
      <c r="N4228">
        <v>3</v>
      </c>
    </row>
    <row r="4229" spans="1:14" x14ac:dyDescent="0.25">
      <c r="A4229" s="3" t="str">
        <f>HYPERLINK("http://www.ncbi.nlm.nih.gov/gene/7138","7138")</f>
        <v>7138</v>
      </c>
      <c r="B4229" s="1" t="s">
        <v>9857</v>
      </c>
      <c r="C4229" t="s">
        <v>9858</v>
      </c>
      <c r="D4229">
        <v>105.3</v>
      </c>
      <c r="E4229">
        <v>107.6</v>
      </c>
      <c r="F4229">
        <v>99.9</v>
      </c>
      <c r="G4229">
        <v>97.6</v>
      </c>
      <c r="H4229">
        <v>130.69999999999999</v>
      </c>
      <c r="I4229">
        <v>133.4</v>
      </c>
      <c r="J4229">
        <v>100</v>
      </c>
      <c r="K4229">
        <v>100</v>
      </c>
      <c r="L4229" s="1" t="s">
        <v>9857</v>
      </c>
      <c r="M4229" t="s">
        <v>1804</v>
      </c>
      <c r="N4229">
        <v>3</v>
      </c>
    </row>
    <row r="4230" spans="1:14" x14ac:dyDescent="0.25">
      <c r="A4230" s="3" t="str">
        <f>HYPERLINK("http://www.ncbi.nlm.nih.gov/gene/7139","7139")</f>
        <v>7139</v>
      </c>
      <c r="B4230" s="1" t="s">
        <v>9859</v>
      </c>
      <c r="C4230" t="s">
        <v>9860</v>
      </c>
      <c r="D4230">
        <v>109.9</v>
      </c>
      <c r="E4230">
        <v>111.6</v>
      </c>
      <c r="F4230">
        <v>94.8</v>
      </c>
      <c r="G4230">
        <v>91.1</v>
      </c>
      <c r="H4230">
        <v>133.4</v>
      </c>
      <c r="I4230">
        <v>135.4</v>
      </c>
      <c r="J4230">
        <v>100</v>
      </c>
      <c r="K4230">
        <v>99.3</v>
      </c>
      <c r="L4230" s="1" t="s">
        <v>9859</v>
      </c>
      <c r="M4230" t="s">
        <v>197</v>
      </c>
      <c r="N4230">
        <v>2</v>
      </c>
    </row>
    <row r="4231" spans="1:14" x14ac:dyDescent="0.25">
      <c r="A4231" s="3" t="str">
        <f>HYPERLINK("http://www.ncbi.nlm.nih.gov/gene/7140","7140")</f>
        <v>7140</v>
      </c>
      <c r="B4231" s="1" t="s">
        <v>9861</v>
      </c>
      <c r="C4231" t="s">
        <v>9862</v>
      </c>
      <c r="D4231">
        <v>148</v>
      </c>
      <c r="E4231">
        <v>150.9</v>
      </c>
      <c r="F4231">
        <v>100</v>
      </c>
      <c r="G4231">
        <v>99.7</v>
      </c>
      <c r="H4231">
        <v>118</v>
      </c>
      <c r="I4231">
        <v>119.3</v>
      </c>
      <c r="J4231">
        <v>100</v>
      </c>
      <c r="K4231">
        <v>100</v>
      </c>
      <c r="L4231" s="1" t="s">
        <v>9861</v>
      </c>
      <c r="M4231" t="s">
        <v>9863</v>
      </c>
      <c r="N4231">
        <v>2</v>
      </c>
    </row>
    <row r="4232" spans="1:14" x14ac:dyDescent="0.25">
      <c r="A4232" s="3" t="str">
        <f>HYPERLINK("http://www.ncbi.nlm.nih.gov/gene/23534","23534")</f>
        <v>23534</v>
      </c>
      <c r="B4232" s="1" t="s">
        <v>9864</v>
      </c>
      <c r="C4232" t="s">
        <v>9865</v>
      </c>
      <c r="D4232">
        <v>130.1</v>
      </c>
      <c r="E4232">
        <v>134.4</v>
      </c>
      <c r="F4232">
        <v>100</v>
      </c>
      <c r="G4232">
        <v>99.9</v>
      </c>
      <c r="H4232">
        <v>130.9</v>
      </c>
      <c r="I4232">
        <v>134.6</v>
      </c>
      <c r="J4232">
        <v>100</v>
      </c>
      <c r="K4232">
        <v>100</v>
      </c>
      <c r="L4232" s="1" t="s">
        <v>9864</v>
      </c>
      <c r="M4232" t="s">
        <v>1435</v>
      </c>
      <c r="N4232">
        <v>2</v>
      </c>
    </row>
    <row r="4233" spans="1:14" x14ac:dyDescent="0.25">
      <c r="A4233" s="3" t="str">
        <f>HYPERLINK("http://www.ncbi.nlm.nih.gov/gene/27327","27327")</f>
        <v>27327</v>
      </c>
      <c r="B4233" s="1" t="s">
        <v>9866</v>
      </c>
      <c r="C4233" t="s">
        <v>9867</v>
      </c>
      <c r="D4233">
        <v>145.9</v>
      </c>
      <c r="E4233">
        <v>147.80000000000001</v>
      </c>
      <c r="F4233">
        <v>99.9</v>
      </c>
      <c r="G4233">
        <v>99.3</v>
      </c>
      <c r="H4233">
        <v>145.4</v>
      </c>
      <c r="I4233">
        <v>146.69999999999999</v>
      </c>
      <c r="J4233">
        <v>100</v>
      </c>
      <c r="K4233">
        <v>100</v>
      </c>
      <c r="L4233" s="1" t="s">
        <v>9866</v>
      </c>
      <c r="M4233" t="s">
        <v>22</v>
      </c>
      <c r="N4233">
        <v>1</v>
      </c>
    </row>
    <row r="4234" spans="1:14" x14ac:dyDescent="0.25">
      <c r="A4234" s="3" t="str">
        <f>HYPERLINK("http://www.ncbi.nlm.nih.gov/gene/23112","23112")</f>
        <v>23112</v>
      </c>
      <c r="B4234" s="1" t="s">
        <v>9868</v>
      </c>
      <c r="D4234">
        <v>140.30000000000001</v>
      </c>
      <c r="E4234">
        <v>140.6</v>
      </c>
      <c r="F4234">
        <v>100</v>
      </c>
      <c r="G4234">
        <v>99.8</v>
      </c>
      <c r="H4234">
        <v>135.69999999999999</v>
      </c>
      <c r="I4234">
        <v>137.69999999999999</v>
      </c>
      <c r="J4234">
        <v>100</v>
      </c>
      <c r="K4234">
        <v>100</v>
      </c>
      <c r="L4234" s="1" t="s">
        <v>9868</v>
      </c>
      <c r="M4234" t="s">
        <v>189</v>
      </c>
      <c r="N4234">
        <v>2</v>
      </c>
    </row>
    <row r="4235" spans="1:14" x14ac:dyDescent="0.25">
      <c r="A4235" s="3" t="str">
        <f>HYPERLINK("http://www.ncbi.nlm.nih.gov/gene/23371","23371")</f>
        <v>23371</v>
      </c>
      <c r="B4235" s="1" t="s">
        <v>9869</v>
      </c>
      <c r="C4235" t="s">
        <v>9870</v>
      </c>
      <c r="D4235">
        <v>128.5</v>
      </c>
      <c r="E4235">
        <v>124</v>
      </c>
      <c r="F4235">
        <v>100</v>
      </c>
      <c r="G4235">
        <v>99.9</v>
      </c>
      <c r="H4235">
        <v>146.30000000000001</v>
      </c>
      <c r="I4235">
        <v>147.9</v>
      </c>
      <c r="J4235">
        <v>100</v>
      </c>
      <c r="K4235">
        <v>100</v>
      </c>
      <c r="L4235" s="1" t="s">
        <v>9869</v>
      </c>
      <c r="M4235" t="s">
        <v>998</v>
      </c>
      <c r="N4235">
        <v>2</v>
      </c>
    </row>
    <row r="4236" spans="1:14" x14ac:dyDescent="0.25">
      <c r="A4236" s="3" t="str">
        <f>HYPERLINK("http://www.ncbi.nlm.nih.gov/gene/7148","7148")</f>
        <v>7148</v>
      </c>
      <c r="B4236" s="1" t="s">
        <v>9871</v>
      </c>
      <c r="C4236" t="s">
        <v>9872</v>
      </c>
      <c r="D4236">
        <v>106</v>
      </c>
      <c r="E4236">
        <v>103.2</v>
      </c>
      <c r="F4236">
        <v>99.1</v>
      </c>
      <c r="G4236">
        <v>93.7</v>
      </c>
      <c r="H4236">
        <v>198.8</v>
      </c>
      <c r="I4236">
        <v>204.1</v>
      </c>
      <c r="J4236">
        <v>100</v>
      </c>
      <c r="K4236">
        <v>99.9</v>
      </c>
      <c r="L4236" s="1" t="s">
        <v>9871</v>
      </c>
      <c r="M4236" t="s">
        <v>9873</v>
      </c>
      <c r="N4236">
        <v>6</v>
      </c>
    </row>
    <row r="4237" spans="1:14" x14ac:dyDescent="0.25">
      <c r="A4237" s="3" t="str">
        <f>HYPERLINK("http://www.ncbi.nlm.nih.gov/gene/114034","114034")</f>
        <v>114034</v>
      </c>
      <c r="B4237" s="1" t="s">
        <v>9874</v>
      </c>
      <c r="C4237" t="s">
        <v>9875</v>
      </c>
      <c r="D4237">
        <v>170.2</v>
      </c>
      <c r="E4237">
        <v>170.4</v>
      </c>
      <c r="F4237">
        <v>100</v>
      </c>
      <c r="G4237">
        <v>100</v>
      </c>
      <c r="H4237">
        <v>137</v>
      </c>
      <c r="I4237">
        <v>140.69999999999999</v>
      </c>
      <c r="J4237">
        <v>100</v>
      </c>
      <c r="K4237">
        <v>100</v>
      </c>
      <c r="L4237" s="1" t="s">
        <v>9874</v>
      </c>
      <c r="M4237" t="s">
        <v>3095</v>
      </c>
      <c r="N4237">
        <v>6</v>
      </c>
    </row>
    <row r="4238" spans="1:14" x14ac:dyDescent="0.25">
      <c r="A4238" s="3" t="str">
        <f>HYPERLINK("http://www.ncbi.nlm.nih.gov/gene/23116","23116")</f>
        <v>23116</v>
      </c>
      <c r="B4238" s="1" t="s">
        <v>9876</v>
      </c>
      <c r="C4238" t="s">
        <v>9877</v>
      </c>
      <c r="D4238">
        <v>141.1</v>
      </c>
      <c r="E4238">
        <v>145.1</v>
      </c>
      <c r="F4238">
        <v>99.6</v>
      </c>
      <c r="G4238">
        <v>98.1</v>
      </c>
      <c r="H4238">
        <v>140.4</v>
      </c>
      <c r="I4238">
        <v>144</v>
      </c>
      <c r="J4238">
        <v>100</v>
      </c>
      <c r="K4238">
        <v>100</v>
      </c>
      <c r="L4238" s="1" t="s">
        <v>9876</v>
      </c>
      <c r="M4238" t="s">
        <v>9878</v>
      </c>
      <c r="N4238">
        <v>3</v>
      </c>
    </row>
    <row r="4239" spans="1:14" x14ac:dyDescent="0.25">
      <c r="A4239" s="3" t="str">
        <f>HYPERLINK("http://www.ncbi.nlm.nih.gov/gene/9868","9868")</f>
        <v>9868</v>
      </c>
      <c r="B4239" s="1" t="s">
        <v>9879</v>
      </c>
      <c r="C4239" t="s">
        <v>9880</v>
      </c>
      <c r="D4239">
        <v>123.5</v>
      </c>
      <c r="E4239">
        <v>128.69999999999999</v>
      </c>
      <c r="F4239">
        <v>100</v>
      </c>
      <c r="G4239">
        <v>99.8</v>
      </c>
      <c r="H4239">
        <v>127.7</v>
      </c>
      <c r="I4239">
        <v>130.1</v>
      </c>
      <c r="J4239">
        <v>100</v>
      </c>
      <c r="K4239">
        <v>100</v>
      </c>
      <c r="L4239" s="1" t="s">
        <v>9879</v>
      </c>
      <c r="M4239" t="s">
        <v>265</v>
      </c>
      <c r="N4239">
        <v>2</v>
      </c>
    </row>
    <row r="4240" spans="1:14" x14ac:dyDescent="0.25">
      <c r="A4240" s="3" t="str">
        <f>HYPERLINK("http://www.ncbi.nlm.nih.gov/gene/4796","4796")</f>
        <v>4796</v>
      </c>
      <c r="B4240" s="1" t="s">
        <v>9881</v>
      </c>
      <c r="C4240" t="s">
        <v>9882</v>
      </c>
      <c r="D4240">
        <v>109</v>
      </c>
      <c r="E4240">
        <v>108.8</v>
      </c>
      <c r="F4240">
        <v>99.8</v>
      </c>
      <c r="G4240">
        <v>97.8</v>
      </c>
      <c r="H4240">
        <v>136.6</v>
      </c>
      <c r="I4240">
        <v>139.19999999999999</v>
      </c>
      <c r="J4240">
        <v>100</v>
      </c>
      <c r="K4240">
        <v>100</v>
      </c>
      <c r="L4240" s="1" t="s">
        <v>9881</v>
      </c>
      <c r="M4240" t="s">
        <v>1168</v>
      </c>
      <c r="N4240">
        <v>3</v>
      </c>
    </row>
    <row r="4241" spans="1:14" x14ac:dyDescent="0.25">
      <c r="A4241" s="3" t="str">
        <f>HYPERLINK("http://www.ncbi.nlm.nih.gov/gene/7150","7150")</f>
        <v>7150</v>
      </c>
      <c r="B4241" s="1" t="s">
        <v>9883</v>
      </c>
      <c r="C4241" t="s">
        <v>9884</v>
      </c>
      <c r="D4241">
        <v>104.2</v>
      </c>
      <c r="E4241">
        <v>106.1</v>
      </c>
      <c r="F4241">
        <v>99.9</v>
      </c>
      <c r="G4241">
        <v>98.6</v>
      </c>
      <c r="H4241">
        <v>124.4</v>
      </c>
      <c r="I4241">
        <v>127.6</v>
      </c>
      <c r="J4241">
        <v>100</v>
      </c>
      <c r="K4241">
        <v>100</v>
      </c>
      <c r="L4241" s="1" t="s">
        <v>9883</v>
      </c>
      <c r="M4241" t="s">
        <v>22</v>
      </c>
      <c r="N4241">
        <v>1</v>
      </c>
    </row>
    <row r="4242" spans="1:14" x14ac:dyDescent="0.25">
      <c r="A4242" s="3" t="str">
        <f>HYPERLINK("http://www.ncbi.nlm.nih.gov/gene/7153","7153")</f>
        <v>7153</v>
      </c>
      <c r="B4242" s="1" t="s">
        <v>9885</v>
      </c>
      <c r="C4242" t="s">
        <v>9886</v>
      </c>
      <c r="D4242">
        <v>140.80000000000001</v>
      </c>
      <c r="E4242">
        <v>146.1</v>
      </c>
      <c r="F4242">
        <v>100</v>
      </c>
      <c r="G4242">
        <v>99.3</v>
      </c>
      <c r="H4242">
        <v>128.80000000000001</v>
      </c>
      <c r="I4242">
        <v>132.80000000000001</v>
      </c>
      <c r="J4242">
        <v>100</v>
      </c>
      <c r="K4242">
        <v>100</v>
      </c>
      <c r="L4242" s="1" t="s">
        <v>9885</v>
      </c>
      <c r="M4242" t="s">
        <v>22</v>
      </c>
      <c r="N4242">
        <v>1</v>
      </c>
    </row>
    <row r="4243" spans="1:14" x14ac:dyDescent="0.25">
      <c r="A4243" s="3" t="str">
        <f>HYPERLINK("http://www.ncbi.nlm.nih.gov/gene/7155","7155")</f>
        <v>7155</v>
      </c>
      <c r="B4243" s="1" t="s">
        <v>9887</v>
      </c>
      <c r="C4243" t="s">
        <v>9888</v>
      </c>
      <c r="D4243">
        <v>134.30000000000001</v>
      </c>
      <c r="E4243">
        <v>140.19999999999999</v>
      </c>
      <c r="F4243">
        <v>99.4</v>
      </c>
      <c r="G4243">
        <v>96.3</v>
      </c>
      <c r="H4243">
        <v>133.4</v>
      </c>
      <c r="I4243">
        <v>137.19999999999999</v>
      </c>
      <c r="J4243">
        <v>100</v>
      </c>
      <c r="K4243">
        <v>100</v>
      </c>
      <c r="L4243" s="1" t="s">
        <v>9887</v>
      </c>
      <c r="M4243" t="s">
        <v>562</v>
      </c>
      <c r="N4243">
        <v>2</v>
      </c>
    </row>
    <row r="4244" spans="1:14" x14ac:dyDescent="0.25">
      <c r="A4244" s="3" t="str">
        <f>HYPERLINK("http://www.ncbi.nlm.nih.gov/gene/7156","7156")</f>
        <v>7156</v>
      </c>
      <c r="B4244" s="1" t="s">
        <v>9889</v>
      </c>
      <c r="C4244" t="s">
        <v>9890</v>
      </c>
      <c r="D4244">
        <v>129.5</v>
      </c>
      <c r="E4244">
        <v>132.1</v>
      </c>
      <c r="F4244">
        <v>100</v>
      </c>
      <c r="G4244">
        <v>98.7</v>
      </c>
      <c r="H4244">
        <v>130.6</v>
      </c>
      <c r="I4244">
        <v>134.4</v>
      </c>
      <c r="J4244">
        <v>100</v>
      </c>
      <c r="K4244">
        <v>100</v>
      </c>
      <c r="L4244" s="1" t="s">
        <v>9889</v>
      </c>
      <c r="M4244" t="s">
        <v>766</v>
      </c>
      <c r="N4244">
        <v>3</v>
      </c>
    </row>
    <row r="4245" spans="1:14" x14ac:dyDescent="0.25">
      <c r="A4245" s="3" t="str">
        <f>HYPERLINK("http://www.ncbi.nlm.nih.gov/gene/10210","10210")</f>
        <v>10210</v>
      </c>
      <c r="B4245" s="1" t="s">
        <v>9891</v>
      </c>
      <c r="C4245" t="s">
        <v>9892</v>
      </c>
      <c r="D4245">
        <v>200.7</v>
      </c>
      <c r="E4245">
        <v>202.2</v>
      </c>
      <c r="F4245">
        <v>100</v>
      </c>
      <c r="G4245">
        <v>100</v>
      </c>
      <c r="H4245">
        <v>153.4</v>
      </c>
      <c r="I4245">
        <v>153.69999999999999</v>
      </c>
      <c r="J4245">
        <v>100</v>
      </c>
      <c r="K4245">
        <v>100</v>
      </c>
      <c r="L4245" s="1" t="s">
        <v>9891</v>
      </c>
      <c r="M4245" t="s">
        <v>793</v>
      </c>
      <c r="N4245">
        <v>2</v>
      </c>
    </row>
    <row r="4246" spans="1:14" x14ac:dyDescent="0.25">
      <c r="A4246" s="3" t="str">
        <f>HYPERLINK("http://www.ncbi.nlm.nih.gov/gene/1861","1861")</f>
        <v>1861</v>
      </c>
      <c r="B4246" s="1" t="s">
        <v>9893</v>
      </c>
      <c r="C4246" t="s">
        <v>9894</v>
      </c>
      <c r="D4246">
        <v>136.19999999999999</v>
      </c>
      <c r="E4246">
        <v>142.1</v>
      </c>
      <c r="F4246">
        <v>91.3</v>
      </c>
      <c r="G4246">
        <v>91.2</v>
      </c>
      <c r="H4246">
        <v>131.69999999999999</v>
      </c>
      <c r="I4246">
        <v>138.1</v>
      </c>
      <c r="J4246">
        <v>91.4</v>
      </c>
      <c r="K4246">
        <v>91.3</v>
      </c>
      <c r="L4246" s="1" t="s">
        <v>9893</v>
      </c>
      <c r="M4246" t="s">
        <v>9895</v>
      </c>
      <c r="N4246">
        <v>3</v>
      </c>
    </row>
    <row r="4247" spans="1:14" x14ac:dyDescent="0.25">
      <c r="A4247" s="3" t="str">
        <f>HYPERLINK("http://www.ncbi.nlm.nih.gov/gene/26092","26092")</f>
        <v>26092</v>
      </c>
      <c r="B4247" s="1" t="s">
        <v>9896</v>
      </c>
      <c r="C4247" t="s">
        <v>9897</v>
      </c>
      <c r="D4247">
        <v>143.80000000000001</v>
      </c>
      <c r="E4247">
        <v>130.69999999999999</v>
      </c>
      <c r="F4247">
        <v>99.9</v>
      </c>
      <c r="G4247">
        <v>98</v>
      </c>
      <c r="H4247">
        <v>125.3</v>
      </c>
      <c r="I4247">
        <v>128.1</v>
      </c>
      <c r="J4247">
        <v>100</v>
      </c>
      <c r="K4247">
        <v>100</v>
      </c>
      <c r="L4247" s="1" t="s">
        <v>9896</v>
      </c>
      <c r="M4247" t="s">
        <v>1264</v>
      </c>
      <c r="N4247">
        <v>3</v>
      </c>
    </row>
    <row r="4248" spans="1:14" x14ac:dyDescent="0.25">
      <c r="A4248" s="3" t="str">
        <f>HYPERLINK("http://www.ncbi.nlm.nih.gov/gene/7157","7157")</f>
        <v>7157</v>
      </c>
      <c r="B4248" s="1" t="s">
        <v>9898</v>
      </c>
      <c r="C4248" t="s">
        <v>9899</v>
      </c>
      <c r="D4248">
        <v>115.4</v>
      </c>
      <c r="E4248">
        <v>113.9</v>
      </c>
      <c r="F4248">
        <v>99.9</v>
      </c>
      <c r="G4248">
        <v>97.7</v>
      </c>
      <c r="H4248">
        <v>137</v>
      </c>
      <c r="I4248">
        <v>139.6</v>
      </c>
      <c r="J4248">
        <v>91.7</v>
      </c>
      <c r="K4248">
        <v>91.7</v>
      </c>
      <c r="L4248" s="1" t="s">
        <v>9898</v>
      </c>
      <c r="M4248" t="s">
        <v>9900</v>
      </c>
      <c r="N4248">
        <v>5</v>
      </c>
    </row>
    <row r="4249" spans="1:14" x14ac:dyDescent="0.25">
      <c r="A4249" s="3" t="str">
        <f>HYPERLINK("http://www.ncbi.nlm.nih.gov/gene/112858","112858")</f>
        <v>112858</v>
      </c>
      <c r="B4249" s="1" t="s">
        <v>9901</v>
      </c>
      <c r="C4249" t="s">
        <v>9902</v>
      </c>
      <c r="D4249">
        <v>47.6</v>
      </c>
      <c r="E4249">
        <v>50.7</v>
      </c>
      <c r="F4249">
        <v>92.5</v>
      </c>
      <c r="G4249">
        <v>79.599999999999994</v>
      </c>
      <c r="H4249">
        <v>106.1</v>
      </c>
      <c r="I4249">
        <v>115.9</v>
      </c>
      <c r="J4249">
        <v>100</v>
      </c>
      <c r="K4249">
        <v>100</v>
      </c>
      <c r="L4249" s="1" t="s">
        <v>9901</v>
      </c>
      <c r="M4249" t="s">
        <v>6811</v>
      </c>
      <c r="N4249">
        <v>4</v>
      </c>
    </row>
    <row r="4250" spans="1:14" x14ac:dyDescent="0.25">
      <c r="A4250" s="3" t="str">
        <f>HYPERLINK("http://www.ncbi.nlm.nih.gov/gene/8626","8626")</f>
        <v>8626</v>
      </c>
      <c r="B4250" s="1" t="s">
        <v>9903</v>
      </c>
      <c r="C4250" t="s">
        <v>9904</v>
      </c>
      <c r="D4250">
        <v>181</v>
      </c>
      <c r="E4250">
        <v>188.5</v>
      </c>
      <c r="F4250">
        <v>100</v>
      </c>
      <c r="G4250">
        <v>100</v>
      </c>
      <c r="H4250">
        <v>147.19999999999999</v>
      </c>
      <c r="I4250">
        <v>151.4</v>
      </c>
      <c r="J4250">
        <v>100</v>
      </c>
      <c r="K4250">
        <v>100</v>
      </c>
      <c r="L4250" s="1" t="s">
        <v>9903</v>
      </c>
      <c r="M4250" t="s">
        <v>8276</v>
      </c>
      <c r="N4250">
        <v>5</v>
      </c>
    </row>
    <row r="4251" spans="1:14" x14ac:dyDescent="0.25">
      <c r="A4251" s="3" t="str">
        <f>HYPERLINK("http://www.ncbi.nlm.nih.gov/gene/219931","219931")</f>
        <v>219931</v>
      </c>
      <c r="B4251" s="1" t="s">
        <v>9905</v>
      </c>
      <c r="C4251" t="s">
        <v>9906</v>
      </c>
      <c r="D4251">
        <v>166.3</v>
      </c>
      <c r="E4251">
        <v>171.7</v>
      </c>
      <c r="F4251">
        <v>95.1</v>
      </c>
      <c r="G4251">
        <v>92.4</v>
      </c>
      <c r="H4251">
        <v>137.4</v>
      </c>
      <c r="I4251">
        <v>140</v>
      </c>
      <c r="J4251">
        <v>100</v>
      </c>
      <c r="K4251">
        <v>100</v>
      </c>
      <c r="L4251" s="1" t="s">
        <v>9905</v>
      </c>
      <c r="M4251" t="s">
        <v>29</v>
      </c>
      <c r="N4251">
        <v>2</v>
      </c>
    </row>
    <row r="4252" spans="1:14" x14ac:dyDescent="0.25">
      <c r="A4252" s="3" t="str">
        <f>HYPERLINK("http://www.ncbi.nlm.nih.gov/gene/7167","7167")</f>
        <v>7167</v>
      </c>
      <c r="B4252" s="1" t="s">
        <v>9907</v>
      </c>
      <c r="C4252" t="s">
        <v>9908</v>
      </c>
      <c r="D4252">
        <v>111.6</v>
      </c>
      <c r="E4252">
        <v>112.9</v>
      </c>
      <c r="F4252">
        <v>99.8</v>
      </c>
      <c r="G4252">
        <v>97.5</v>
      </c>
      <c r="H4252">
        <v>134.69999999999999</v>
      </c>
      <c r="I4252">
        <v>137.30000000000001</v>
      </c>
      <c r="J4252">
        <v>100</v>
      </c>
      <c r="K4252">
        <v>100</v>
      </c>
      <c r="L4252" s="1" t="s">
        <v>9907</v>
      </c>
      <c r="M4252" t="s">
        <v>38</v>
      </c>
      <c r="N4252">
        <v>4</v>
      </c>
    </row>
    <row r="4253" spans="1:14" x14ac:dyDescent="0.25">
      <c r="A4253" s="3" t="str">
        <f>HYPERLINK("http://www.ncbi.nlm.nih.gov/gene/27010","27010")</f>
        <v>27010</v>
      </c>
      <c r="B4253" s="1" t="s">
        <v>9909</v>
      </c>
      <c r="C4253" t="s">
        <v>9910</v>
      </c>
      <c r="D4253">
        <v>119.5</v>
      </c>
      <c r="E4253">
        <v>121.5</v>
      </c>
      <c r="F4253">
        <v>99.8</v>
      </c>
      <c r="G4253">
        <v>99</v>
      </c>
      <c r="H4253">
        <v>137.69999999999999</v>
      </c>
      <c r="I4253">
        <v>140.80000000000001</v>
      </c>
      <c r="J4253">
        <v>100</v>
      </c>
      <c r="K4253">
        <v>100</v>
      </c>
      <c r="L4253" s="1" t="s">
        <v>9909</v>
      </c>
      <c r="M4253" t="s">
        <v>2287</v>
      </c>
      <c r="N4253">
        <v>4</v>
      </c>
    </row>
    <row r="4254" spans="1:14" x14ac:dyDescent="0.25">
      <c r="A4254" s="3" t="str">
        <f>HYPERLINK("http://www.ncbi.nlm.nih.gov/gene/7168","7168")</f>
        <v>7168</v>
      </c>
      <c r="B4254" s="1" t="s">
        <v>9911</v>
      </c>
      <c r="C4254" t="s">
        <v>9912</v>
      </c>
      <c r="D4254">
        <v>121</v>
      </c>
      <c r="E4254">
        <v>124.3</v>
      </c>
      <c r="F4254">
        <v>100</v>
      </c>
      <c r="G4254">
        <v>99.4</v>
      </c>
      <c r="H4254">
        <v>129.5</v>
      </c>
      <c r="I4254">
        <v>132.80000000000001</v>
      </c>
      <c r="J4254">
        <v>100</v>
      </c>
      <c r="K4254">
        <v>99.9</v>
      </c>
      <c r="L4254" s="1" t="s">
        <v>9911</v>
      </c>
      <c r="M4254" t="s">
        <v>197</v>
      </c>
      <c r="N4254">
        <v>2</v>
      </c>
    </row>
    <row r="4255" spans="1:14" x14ac:dyDescent="0.25">
      <c r="A4255" s="3" t="str">
        <f>HYPERLINK("http://www.ncbi.nlm.nih.gov/gene/7169","7169")</f>
        <v>7169</v>
      </c>
      <c r="B4255" s="1" t="s">
        <v>9913</v>
      </c>
      <c r="C4255" t="s">
        <v>9914</v>
      </c>
      <c r="D4255">
        <v>118.9</v>
      </c>
      <c r="E4255">
        <v>119.2</v>
      </c>
      <c r="F4255">
        <v>100</v>
      </c>
      <c r="G4255">
        <v>100</v>
      </c>
      <c r="H4255">
        <v>154.69999999999999</v>
      </c>
      <c r="I4255">
        <v>157.19999999999999</v>
      </c>
      <c r="J4255">
        <v>100</v>
      </c>
      <c r="K4255">
        <v>100</v>
      </c>
      <c r="L4255" s="1" t="s">
        <v>9913</v>
      </c>
      <c r="M4255" t="s">
        <v>9915</v>
      </c>
      <c r="N4255">
        <v>3</v>
      </c>
    </row>
    <row r="4256" spans="1:14" x14ac:dyDescent="0.25">
      <c r="A4256" s="3" t="str">
        <f>HYPERLINK("http://www.ncbi.nlm.nih.gov/gene/7170","7170")</f>
        <v>7170</v>
      </c>
      <c r="B4256" s="1" t="s">
        <v>9916</v>
      </c>
      <c r="C4256" t="s">
        <v>9917</v>
      </c>
      <c r="D4256">
        <v>86.4</v>
      </c>
      <c r="E4256">
        <v>85.5</v>
      </c>
      <c r="F4256">
        <v>89.2</v>
      </c>
      <c r="G4256">
        <v>87.2</v>
      </c>
      <c r="H4256">
        <v>131.9</v>
      </c>
      <c r="I4256">
        <v>134.6</v>
      </c>
      <c r="J4256">
        <v>100</v>
      </c>
      <c r="K4256">
        <v>100</v>
      </c>
      <c r="L4256" s="1" t="s">
        <v>9916</v>
      </c>
      <c r="M4256" t="s">
        <v>9918</v>
      </c>
      <c r="N4256">
        <v>4</v>
      </c>
    </row>
    <row r="4257" spans="1:14" x14ac:dyDescent="0.25">
      <c r="A4257" s="3" t="str">
        <f>HYPERLINK("http://www.ncbi.nlm.nih.gov/gene/7171","7171")</f>
        <v>7171</v>
      </c>
      <c r="B4257" s="1" t="s">
        <v>9919</v>
      </c>
      <c r="C4257" t="s">
        <v>9920</v>
      </c>
      <c r="D4257">
        <v>54.6</v>
      </c>
      <c r="E4257">
        <v>55.2</v>
      </c>
      <c r="F4257">
        <v>82.9</v>
      </c>
      <c r="G4257">
        <v>70.400000000000006</v>
      </c>
      <c r="H4257">
        <v>110.3</v>
      </c>
      <c r="I4257">
        <v>112.9</v>
      </c>
      <c r="J4257">
        <v>100</v>
      </c>
      <c r="K4257">
        <v>100</v>
      </c>
      <c r="L4257" s="1" t="s">
        <v>9919</v>
      </c>
      <c r="M4257" t="s">
        <v>16</v>
      </c>
      <c r="N4257">
        <v>2</v>
      </c>
    </row>
    <row r="4258" spans="1:14" x14ac:dyDescent="0.25">
      <c r="A4258" s="3" t="str">
        <f>HYPERLINK("http://www.ncbi.nlm.nih.gov/gene/7172","7172")</f>
        <v>7172</v>
      </c>
      <c r="B4258" s="1" t="s">
        <v>9921</v>
      </c>
      <c r="C4258" t="s">
        <v>9922</v>
      </c>
      <c r="D4258">
        <v>46.5</v>
      </c>
      <c r="E4258">
        <v>45.1</v>
      </c>
      <c r="F4258">
        <v>99.1</v>
      </c>
      <c r="G4258">
        <v>90.1</v>
      </c>
      <c r="H4258">
        <v>124.5</v>
      </c>
      <c r="I4258">
        <v>127.5</v>
      </c>
      <c r="J4258">
        <v>100</v>
      </c>
      <c r="K4258">
        <v>100</v>
      </c>
      <c r="L4258" s="1" t="s">
        <v>9921</v>
      </c>
      <c r="M4258" t="s">
        <v>93</v>
      </c>
      <c r="N4258">
        <v>2</v>
      </c>
    </row>
    <row r="4259" spans="1:14" x14ac:dyDescent="0.25">
      <c r="A4259" s="3" t="str">
        <f>HYPERLINK("http://www.ncbi.nlm.nih.gov/gene/7173","7173")</f>
        <v>7173</v>
      </c>
      <c r="B4259" s="1" t="s">
        <v>9923</v>
      </c>
      <c r="C4259" t="s">
        <v>9924</v>
      </c>
      <c r="D4259">
        <v>149.5</v>
      </c>
      <c r="E4259">
        <v>147.4</v>
      </c>
      <c r="F4259">
        <v>99.9</v>
      </c>
      <c r="G4259">
        <v>98.2</v>
      </c>
      <c r="H4259">
        <v>208.2</v>
      </c>
      <c r="I4259">
        <v>214.1</v>
      </c>
      <c r="J4259">
        <v>100</v>
      </c>
      <c r="K4259">
        <v>100</v>
      </c>
      <c r="L4259" s="1" t="s">
        <v>9923</v>
      </c>
      <c r="M4259" t="s">
        <v>228</v>
      </c>
      <c r="N4259">
        <v>3</v>
      </c>
    </row>
    <row r="4260" spans="1:14" x14ac:dyDescent="0.25">
      <c r="A4260" s="3" t="str">
        <f>HYPERLINK("http://www.ncbi.nlm.nih.gov/gene/1200","1200")</f>
        <v>1200</v>
      </c>
      <c r="B4260" s="1" t="s">
        <v>9925</v>
      </c>
      <c r="C4260" t="s">
        <v>9926</v>
      </c>
      <c r="D4260">
        <v>142.69999999999999</v>
      </c>
      <c r="E4260">
        <v>146.4</v>
      </c>
      <c r="F4260">
        <v>100</v>
      </c>
      <c r="G4260">
        <v>100</v>
      </c>
      <c r="H4260">
        <v>145.30000000000001</v>
      </c>
      <c r="I4260">
        <v>148.69999999999999</v>
      </c>
      <c r="J4260">
        <v>100</v>
      </c>
      <c r="K4260">
        <v>100</v>
      </c>
      <c r="L4260" s="1" t="s">
        <v>9925</v>
      </c>
      <c r="M4260" t="s">
        <v>9927</v>
      </c>
      <c r="N4260">
        <v>7</v>
      </c>
    </row>
    <row r="4261" spans="1:14" x14ac:dyDescent="0.25">
      <c r="A4261" s="3" t="str">
        <f>HYPERLINK("http://www.ncbi.nlm.nih.gov/gene/7174","7174")</f>
        <v>7174</v>
      </c>
      <c r="B4261" s="1" t="s">
        <v>9928</v>
      </c>
      <c r="C4261" t="s">
        <v>9929</v>
      </c>
      <c r="D4261">
        <v>131.19999999999999</v>
      </c>
      <c r="E4261">
        <v>136.69999999999999</v>
      </c>
      <c r="F4261">
        <v>99.2</v>
      </c>
      <c r="G4261">
        <v>96.8</v>
      </c>
      <c r="H4261">
        <v>128.5</v>
      </c>
      <c r="I4261">
        <v>132.1</v>
      </c>
      <c r="J4261">
        <v>100</v>
      </c>
      <c r="K4261">
        <v>100</v>
      </c>
      <c r="L4261" s="1" t="s">
        <v>9928</v>
      </c>
      <c r="M4261" t="s">
        <v>502</v>
      </c>
      <c r="N4261">
        <v>2</v>
      </c>
    </row>
    <row r="4262" spans="1:14" x14ac:dyDescent="0.25">
      <c r="A4262" s="3" t="str">
        <f>HYPERLINK("http://www.ncbi.nlm.nih.gov/gene/51002","51002")</f>
        <v>51002</v>
      </c>
      <c r="B4262" s="1" t="s">
        <v>9930</v>
      </c>
      <c r="C4262" t="s">
        <v>9931</v>
      </c>
      <c r="D4262">
        <v>77.8</v>
      </c>
      <c r="E4262">
        <v>81.099999999999994</v>
      </c>
      <c r="F4262">
        <v>81.099999999999994</v>
      </c>
      <c r="G4262">
        <v>75.900000000000006</v>
      </c>
      <c r="H4262">
        <v>107</v>
      </c>
      <c r="I4262">
        <v>110.5</v>
      </c>
      <c r="J4262">
        <v>81.900000000000006</v>
      </c>
      <c r="K4262">
        <v>81.900000000000006</v>
      </c>
      <c r="L4262" s="1" t="s">
        <v>9930</v>
      </c>
      <c r="M4262" t="s">
        <v>6811</v>
      </c>
      <c r="N4262">
        <v>4</v>
      </c>
    </row>
    <row r="4263" spans="1:14" x14ac:dyDescent="0.25">
      <c r="A4263" s="3" t="str">
        <f>HYPERLINK("http://www.ncbi.nlm.nih.gov/gene/286262","286262")</f>
        <v>286262</v>
      </c>
      <c r="B4263" s="1" t="s">
        <v>9932</v>
      </c>
      <c r="C4263" t="s">
        <v>9933</v>
      </c>
      <c r="D4263">
        <v>90.8</v>
      </c>
      <c r="E4263">
        <v>93.4</v>
      </c>
      <c r="F4263">
        <v>87.9</v>
      </c>
      <c r="G4263">
        <v>79.3</v>
      </c>
      <c r="H4263">
        <v>110.8</v>
      </c>
      <c r="I4263">
        <v>127.4</v>
      </c>
      <c r="J4263">
        <v>94.4</v>
      </c>
      <c r="K4263">
        <v>89.8</v>
      </c>
      <c r="L4263" s="1" t="s">
        <v>9932</v>
      </c>
      <c r="M4263" t="s">
        <v>269</v>
      </c>
      <c r="N4263">
        <v>3</v>
      </c>
    </row>
    <row r="4264" spans="1:14" x14ac:dyDescent="0.25">
      <c r="A4264" s="3" t="str">
        <f>HYPERLINK("http://www.ncbi.nlm.nih.gov/gene/28755","28755")</f>
        <v>28755</v>
      </c>
      <c r="B4264" s="1" t="s">
        <v>9934</v>
      </c>
      <c r="C4264" t="s">
        <v>9935</v>
      </c>
      <c r="D4264">
        <v>135</v>
      </c>
      <c r="E4264">
        <v>142.30000000000001</v>
      </c>
      <c r="F4264">
        <v>100</v>
      </c>
      <c r="G4264">
        <v>100</v>
      </c>
      <c r="H4264">
        <v>111.3</v>
      </c>
      <c r="I4264">
        <v>113.6</v>
      </c>
      <c r="J4264">
        <v>100</v>
      </c>
      <c r="K4264">
        <v>100</v>
      </c>
      <c r="L4264" s="1" t="s">
        <v>9934</v>
      </c>
      <c r="M4264" t="s">
        <v>1097</v>
      </c>
      <c r="N4264">
        <v>3</v>
      </c>
    </row>
    <row r="4265" spans="1:14" x14ac:dyDescent="0.25">
      <c r="A4265" s="3" t="str">
        <f>HYPERLINK("http://www.ncbi.nlm.nih.gov/gene/7187","7187")</f>
        <v>7187</v>
      </c>
      <c r="B4265" s="1" t="s">
        <v>9936</v>
      </c>
      <c r="C4265" t="s">
        <v>9937</v>
      </c>
      <c r="D4265">
        <v>127</v>
      </c>
      <c r="E4265">
        <v>129.6</v>
      </c>
      <c r="F4265">
        <v>100</v>
      </c>
      <c r="G4265">
        <v>99.9</v>
      </c>
      <c r="H4265">
        <v>121.9</v>
      </c>
      <c r="I4265">
        <v>125.5</v>
      </c>
      <c r="J4265">
        <v>100</v>
      </c>
      <c r="K4265">
        <v>100</v>
      </c>
      <c r="L4265" s="1" t="s">
        <v>9936</v>
      </c>
      <c r="M4265" t="s">
        <v>4913</v>
      </c>
      <c r="N4265">
        <v>2</v>
      </c>
    </row>
    <row r="4266" spans="1:14" x14ac:dyDescent="0.25">
      <c r="A4266" s="3" t="str">
        <f>HYPERLINK("http://www.ncbi.nlm.nih.gov/gene/26146","26146")</f>
        <v>26146</v>
      </c>
      <c r="B4266" s="1" t="s">
        <v>9938</v>
      </c>
      <c r="C4266" t="s">
        <v>9939</v>
      </c>
      <c r="D4266">
        <v>87.4</v>
      </c>
      <c r="E4266">
        <v>91.1</v>
      </c>
      <c r="F4266">
        <v>99.6</v>
      </c>
      <c r="G4266">
        <v>97.6</v>
      </c>
      <c r="H4266">
        <v>123.5</v>
      </c>
      <c r="I4266">
        <v>127.1</v>
      </c>
      <c r="J4266">
        <v>100</v>
      </c>
      <c r="K4266">
        <v>100</v>
      </c>
      <c r="L4266" s="1" t="s">
        <v>9938</v>
      </c>
      <c r="M4266" t="s">
        <v>9940</v>
      </c>
      <c r="N4266">
        <v>7</v>
      </c>
    </row>
    <row r="4267" spans="1:14" x14ac:dyDescent="0.25">
      <c r="A4267" s="3" t="str">
        <f>HYPERLINK("http://www.ncbi.nlm.nih.gov/gene/10758","10758")</f>
        <v>10758</v>
      </c>
      <c r="B4267" s="1" t="s">
        <v>9941</v>
      </c>
      <c r="C4267" t="s">
        <v>9942</v>
      </c>
      <c r="D4267">
        <v>122.2</v>
      </c>
      <c r="E4267">
        <v>127.7</v>
      </c>
      <c r="F4267">
        <v>100</v>
      </c>
      <c r="G4267">
        <v>99.3</v>
      </c>
      <c r="H4267">
        <v>132.30000000000001</v>
      </c>
      <c r="I4267">
        <v>133.9</v>
      </c>
      <c r="J4267">
        <v>100</v>
      </c>
      <c r="K4267">
        <v>100</v>
      </c>
      <c r="L4267" s="1" t="s">
        <v>9941</v>
      </c>
      <c r="M4267" t="s">
        <v>502</v>
      </c>
      <c r="N4267">
        <v>2</v>
      </c>
    </row>
    <row r="4268" spans="1:14" x14ac:dyDescent="0.25">
      <c r="A4268" s="3" t="str">
        <f>HYPERLINK("http://www.ncbi.nlm.nih.gov/gene/7189","7189")</f>
        <v>7189</v>
      </c>
      <c r="B4268" s="1" t="s">
        <v>9943</v>
      </c>
      <c r="C4268" t="s">
        <v>9944</v>
      </c>
      <c r="D4268">
        <v>90</v>
      </c>
      <c r="E4268">
        <v>92.6</v>
      </c>
      <c r="F4268">
        <v>97.1</v>
      </c>
      <c r="G4268">
        <v>88.9</v>
      </c>
      <c r="H4268">
        <v>151.80000000000001</v>
      </c>
      <c r="I4268">
        <v>154</v>
      </c>
      <c r="J4268">
        <v>100</v>
      </c>
      <c r="K4268">
        <v>100</v>
      </c>
      <c r="L4268" s="1" t="s">
        <v>9943</v>
      </c>
      <c r="M4268" t="s">
        <v>554</v>
      </c>
      <c r="N4268">
        <v>2</v>
      </c>
    </row>
    <row r="4269" spans="1:14" x14ac:dyDescent="0.25">
      <c r="A4269" s="3" t="str">
        <f>HYPERLINK("http://www.ncbi.nlm.nih.gov/gene/84231","84231")</f>
        <v>84231</v>
      </c>
      <c r="B4269" s="1" t="s">
        <v>9945</v>
      </c>
      <c r="C4269" t="s">
        <v>9946</v>
      </c>
      <c r="D4269">
        <v>157</v>
      </c>
      <c r="E4269">
        <v>162</v>
      </c>
      <c r="F4269">
        <v>100</v>
      </c>
      <c r="G4269">
        <v>99.8</v>
      </c>
      <c r="H4269">
        <v>128.30000000000001</v>
      </c>
      <c r="I4269">
        <v>131.19999999999999</v>
      </c>
      <c r="J4269">
        <v>100</v>
      </c>
      <c r="K4269">
        <v>100</v>
      </c>
      <c r="L4269" s="1" t="s">
        <v>9945</v>
      </c>
      <c r="M4269" t="s">
        <v>189</v>
      </c>
      <c r="N4269">
        <v>2</v>
      </c>
    </row>
    <row r="4270" spans="1:14" x14ac:dyDescent="0.25">
      <c r="A4270" s="3" t="str">
        <f>HYPERLINK("http://www.ncbi.nlm.nih.gov/gene/10293","10293")</f>
        <v>10293</v>
      </c>
      <c r="B4270" s="1" t="s">
        <v>9947</v>
      </c>
      <c r="C4270" t="s">
        <v>9948</v>
      </c>
      <c r="D4270">
        <v>129</v>
      </c>
      <c r="E4270">
        <v>132.6</v>
      </c>
      <c r="F4270">
        <v>100</v>
      </c>
      <c r="G4270">
        <v>100</v>
      </c>
      <c r="H4270">
        <v>129.80000000000001</v>
      </c>
      <c r="I4270">
        <v>132.69999999999999</v>
      </c>
      <c r="J4270">
        <v>100</v>
      </c>
      <c r="K4270">
        <v>100</v>
      </c>
      <c r="L4270" s="1" t="s">
        <v>9947</v>
      </c>
      <c r="M4270" t="s">
        <v>656</v>
      </c>
      <c r="N4270">
        <v>4</v>
      </c>
    </row>
    <row r="4271" spans="1:14" x14ac:dyDescent="0.25">
      <c r="A4271" s="3" t="str">
        <f>HYPERLINK("http://www.ncbi.nlm.nih.gov/gene/22906","22906")</f>
        <v>22906</v>
      </c>
      <c r="B4271" s="1" t="s">
        <v>9949</v>
      </c>
      <c r="C4271" t="s">
        <v>9950</v>
      </c>
      <c r="D4271">
        <v>158.1</v>
      </c>
      <c r="E4271">
        <v>158.4</v>
      </c>
      <c r="F4271">
        <v>93.3</v>
      </c>
      <c r="G4271">
        <v>92.9</v>
      </c>
      <c r="H4271">
        <v>139.1</v>
      </c>
      <c r="I4271">
        <v>140.5</v>
      </c>
      <c r="J4271">
        <v>100</v>
      </c>
      <c r="K4271">
        <v>99.9</v>
      </c>
      <c r="L4271" s="1" t="s">
        <v>9949</v>
      </c>
      <c r="M4271" t="s">
        <v>116</v>
      </c>
      <c r="N4271">
        <v>3</v>
      </c>
    </row>
    <row r="4272" spans="1:14" x14ac:dyDescent="0.25">
      <c r="A4272" s="3" t="str">
        <f>HYPERLINK("http://www.ncbi.nlm.nih.gov/gene/10131","10131")</f>
        <v>10131</v>
      </c>
      <c r="B4272" s="1" t="s">
        <v>9951</v>
      </c>
      <c r="C4272" t="s">
        <v>9952</v>
      </c>
      <c r="D4272">
        <v>130.6</v>
      </c>
      <c r="E4272">
        <v>136.19999999999999</v>
      </c>
      <c r="F4272">
        <v>97.2</v>
      </c>
      <c r="G4272">
        <v>95.7</v>
      </c>
      <c r="H4272">
        <v>138.80000000000001</v>
      </c>
      <c r="I4272">
        <v>142.5</v>
      </c>
      <c r="J4272">
        <v>100</v>
      </c>
      <c r="K4272">
        <v>100</v>
      </c>
      <c r="L4272" s="1" t="s">
        <v>9951</v>
      </c>
      <c r="M4272" t="s">
        <v>661</v>
      </c>
      <c r="N4272">
        <v>2</v>
      </c>
    </row>
    <row r="4273" spans="1:14" x14ac:dyDescent="0.25">
      <c r="A4273" s="3" t="str">
        <f>HYPERLINK("http://www.ncbi.nlm.nih.gov/gene/60684","60684")</f>
        <v>60684</v>
      </c>
      <c r="B4273" s="1" t="s">
        <v>9953</v>
      </c>
      <c r="C4273" t="s">
        <v>9954</v>
      </c>
      <c r="D4273">
        <v>146.6</v>
      </c>
      <c r="E4273">
        <v>151.1</v>
      </c>
      <c r="F4273">
        <v>100</v>
      </c>
      <c r="G4273">
        <v>99.2</v>
      </c>
      <c r="H4273">
        <v>133.19999999999999</v>
      </c>
      <c r="I4273">
        <v>136.69999999999999</v>
      </c>
      <c r="J4273">
        <v>100</v>
      </c>
      <c r="K4273">
        <v>100</v>
      </c>
      <c r="L4273" s="1" t="s">
        <v>9953</v>
      </c>
      <c r="M4273" t="s">
        <v>1019</v>
      </c>
      <c r="N4273">
        <v>5</v>
      </c>
    </row>
    <row r="4274" spans="1:14" x14ac:dyDescent="0.25">
      <c r="A4274" s="3" t="str">
        <f>HYPERLINK("http://www.ncbi.nlm.nih.gov/gene/51112","51112")</f>
        <v>51112</v>
      </c>
      <c r="B4274" s="1" t="s">
        <v>9955</v>
      </c>
      <c r="C4274" t="s">
        <v>9956</v>
      </c>
      <c r="D4274">
        <v>162.80000000000001</v>
      </c>
      <c r="E4274">
        <v>162.6</v>
      </c>
      <c r="F4274">
        <v>100</v>
      </c>
      <c r="G4274">
        <v>99.6</v>
      </c>
      <c r="H4274">
        <v>155.5</v>
      </c>
      <c r="I4274">
        <v>156.69999999999999</v>
      </c>
      <c r="J4274">
        <v>100</v>
      </c>
      <c r="K4274">
        <v>100</v>
      </c>
      <c r="L4274" s="1" t="s">
        <v>9955</v>
      </c>
      <c r="M4274" t="s">
        <v>53</v>
      </c>
      <c r="N4274">
        <v>2</v>
      </c>
    </row>
    <row r="4275" spans="1:14" x14ac:dyDescent="0.25">
      <c r="A4275" s="3" t="str">
        <f>HYPERLINK("http://www.ncbi.nlm.nih.gov/gene/55262","55262")</f>
        <v>55262</v>
      </c>
      <c r="B4275" s="1" t="s">
        <v>9957</v>
      </c>
      <c r="C4275" t="s">
        <v>9958</v>
      </c>
      <c r="D4275">
        <v>146.19999999999999</v>
      </c>
      <c r="E4275">
        <v>146.6</v>
      </c>
      <c r="F4275">
        <v>100</v>
      </c>
      <c r="G4275">
        <v>99.4</v>
      </c>
      <c r="H4275">
        <v>124.3</v>
      </c>
      <c r="I4275">
        <v>126.8</v>
      </c>
      <c r="J4275">
        <v>100</v>
      </c>
      <c r="K4275">
        <v>100</v>
      </c>
      <c r="L4275" s="1" t="s">
        <v>9959</v>
      </c>
      <c r="M4275" t="s">
        <v>53</v>
      </c>
      <c r="N4275">
        <v>2</v>
      </c>
    </row>
    <row r="4276" spans="1:14" x14ac:dyDescent="0.25">
      <c r="A4276" s="3" t="str">
        <f>HYPERLINK("http://www.ncbi.nlm.nih.gov/gene/6399","6399")</f>
        <v>6399</v>
      </c>
      <c r="B4276" s="1" t="s">
        <v>9960</v>
      </c>
      <c r="C4276" t="s">
        <v>9961</v>
      </c>
      <c r="D4276">
        <v>64</v>
      </c>
      <c r="E4276">
        <v>65.099999999999994</v>
      </c>
      <c r="F4276">
        <v>89.7</v>
      </c>
      <c r="G4276">
        <v>69.599999999999994</v>
      </c>
      <c r="H4276">
        <v>116.4</v>
      </c>
      <c r="I4276">
        <v>119.2</v>
      </c>
      <c r="J4276">
        <v>100</v>
      </c>
      <c r="K4276">
        <v>100</v>
      </c>
      <c r="L4276" s="1" t="s">
        <v>9960</v>
      </c>
      <c r="M4276" t="s">
        <v>9962</v>
      </c>
      <c r="N4276">
        <v>2</v>
      </c>
    </row>
    <row r="4277" spans="1:14" x14ac:dyDescent="0.25">
      <c r="A4277" s="3" t="str">
        <f>HYPERLINK("http://www.ncbi.nlm.nih.gov/gene/51693","51693")</f>
        <v>51693</v>
      </c>
      <c r="B4277" s="1" t="s">
        <v>9963</v>
      </c>
      <c r="C4277" t="s">
        <v>9964</v>
      </c>
      <c r="D4277">
        <v>198.5</v>
      </c>
      <c r="E4277">
        <v>213.9</v>
      </c>
      <c r="F4277">
        <v>100</v>
      </c>
      <c r="G4277">
        <v>100</v>
      </c>
      <c r="H4277">
        <v>153.30000000000001</v>
      </c>
      <c r="I4277">
        <v>155.5</v>
      </c>
      <c r="J4277">
        <v>100</v>
      </c>
      <c r="K4277">
        <v>100</v>
      </c>
      <c r="L4277" s="1" t="s">
        <v>9963</v>
      </c>
      <c r="M4277" t="s">
        <v>2287</v>
      </c>
      <c r="N4277">
        <v>4</v>
      </c>
    </row>
    <row r="4278" spans="1:14" x14ac:dyDescent="0.25">
      <c r="A4278" s="3" t="str">
        <f>HYPERLINK("http://www.ncbi.nlm.nih.gov/gene/51399","51399")</f>
        <v>51399</v>
      </c>
      <c r="B4278" s="1" t="s">
        <v>9965</v>
      </c>
      <c r="C4278" t="s">
        <v>9966</v>
      </c>
      <c r="D4278">
        <v>131.6</v>
      </c>
      <c r="E4278">
        <v>137.80000000000001</v>
      </c>
      <c r="F4278">
        <v>100</v>
      </c>
      <c r="G4278">
        <v>100</v>
      </c>
      <c r="H4278">
        <v>130.6</v>
      </c>
      <c r="I4278">
        <v>134.4</v>
      </c>
      <c r="J4278">
        <v>100</v>
      </c>
      <c r="K4278">
        <v>100</v>
      </c>
      <c r="L4278" s="1" t="s">
        <v>9965</v>
      </c>
      <c r="M4278" t="s">
        <v>50</v>
      </c>
      <c r="N4278">
        <v>2</v>
      </c>
    </row>
    <row r="4279" spans="1:14" x14ac:dyDescent="0.25">
      <c r="A4279" s="3" t="str">
        <f>HYPERLINK("http://www.ncbi.nlm.nih.gov/gene/122553","122553")</f>
        <v>122553</v>
      </c>
      <c r="B4279" s="1" t="s">
        <v>9967</v>
      </c>
      <c r="C4279" t="s">
        <v>9968</v>
      </c>
      <c r="D4279">
        <v>95.4</v>
      </c>
      <c r="E4279">
        <v>97.2</v>
      </c>
      <c r="F4279">
        <v>99.9</v>
      </c>
      <c r="G4279">
        <v>98</v>
      </c>
      <c r="H4279">
        <v>132.80000000000001</v>
      </c>
      <c r="I4279">
        <v>135.6</v>
      </c>
      <c r="J4279">
        <v>100</v>
      </c>
      <c r="K4279">
        <v>100</v>
      </c>
      <c r="L4279" s="1" t="s">
        <v>9967</v>
      </c>
      <c r="M4279" t="s">
        <v>228</v>
      </c>
      <c r="N4279">
        <v>3</v>
      </c>
    </row>
    <row r="4280" spans="1:14" x14ac:dyDescent="0.25">
      <c r="A4280" s="3" t="str">
        <f>HYPERLINK("http://www.ncbi.nlm.nih.gov/gene/83696","83696")</f>
        <v>83696</v>
      </c>
      <c r="B4280" s="1" t="s">
        <v>9969</v>
      </c>
      <c r="C4280" t="s">
        <v>9970</v>
      </c>
      <c r="D4280">
        <v>138.9</v>
      </c>
      <c r="E4280">
        <v>144.1</v>
      </c>
      <c r="F4280">
        <v>100</v>
      </c>
      <c r="G4280">
        <v>99.6</v>
      </c>
      <c r="H4280">
        <v>137.1</v>
      </c>
      <c r="I4280">
        <v>141.80000000000001</v>
      </c>
      <c r="J4280">
        <v>100</v>
      </c>
      <c r="K4280">
        <v>100</v>
      </c>
      <c r="L4280" s="1" t="s">
        <v>9969</v>
      </c>
      <c r="M4280" t="s">
        <v>228</v>
      </c>
      <c r="N4280">
        <v>3</v>
      </c>
    </row>
    <row r="4281" spans="1:14" x14ac:dyDescent="0.25">
      <c r="A4281" s="3" t="str">
        <f>HYPERLINK("http://www.ncbi.nlm.nih.gov/gene/10345","10345")</f>
        <v>10345</v>
      </c>
      <c r="B4281" s="1" t="s">
        <v>9971</v>
      </c>
      <c r="C4281" t="s">
        <v>9972</v>
      </c>
      <c r="D4281">
        <v>89.7</v>
      </c>
      <c r="E4281">
        <v>92.9</v>
      </c>
      <c r="F4281">
        <v>96.2</v>
      </c>
      <c r="G4281">
        <v>86.7</v>
      </c>
      <c r="H4281">
        <v>116.9</v>
      </c>
      <c r="I4281">
        <v>119.3</v>
      </c>
      <c r="J4281">
        <v>100</v>
      </c>
      <c r="K4281">
        <v>100</v>
      </c>
      <c r="L4281" s="1" t="s">
        <v>9971</v>
      </c>
      <c r="M4281" t="s">
        <v>1264</v>
      </c>
      <c r="N4281">
        <v>3</v>
      </c>
    </row>
    <row r="4282" spans="1:14" x14ac:dyDescent="0.25">
      <c r="A4282" s="3" t="str">
        <f>HYPERLINK("http://www.ncbi.nlm.nih.gov/gene/11181","11181")</f>
        <v>11181</v>
      </c>
      <c r="B4282" s="1" t="s">
        <v>9973</v>
      </c>
      <c r="C4282" t="s">
        <v>9974</v>
      </c>
      <c r="D4282">
        <v>146</v>
      </c>
      <c r="E4282">
        <v>147.9</v>
      </c>
      <c r="F4282">
        <v>96.9</v>
      </c>
      <c r="G4282">
        <v>92.1</v>
      </c>
      <c r="H4282">
        <v>134.80000000000001</v>
      </c>
      <c r="I4282">
        <v>137.69999999999999</v>
      </c>
      <c r="J4282">
        <v>100</v>
      </c>
      <c r="K4282">
        <v>100</v>
      </c>
      <c r="L4282" s="1" t="s">
        <v>9973</v>
      </c>
      <c r="M4282" t="s">
        <v>93</v>
      </c>
      <c r="N4282">
        <v>2</v>
      </c>
    </row>
    <row r="4283" spans="1:14" x14ac:dyDescent="0.25">
      <c r="A4283" s="3" t="str">
        <f>HYPERLINK("http://www.ncbi.nlm.nih.gov/gene/54209","54209")</f>
        <v>54209</v>
      </c>
      <c r="B4283" s="1" t="s">
        <v>9975</v>
      </c>
      <c r="C4283" t="s">
        <v>9976</v>
      </c>
      <c r="D4283">
        <v>126.5</v>
      </c>
      <c r="E4283">
        <v>127.3</v>
      </c>
      <c r="F4283">
        <v>100</v>
      </c>
      <c r="G4283">
        <v>99.8</v>
      </c>
      <c r="H4283">
        <v>141.80000000000001</v>
      </c>
      <c r="I4283">
        <v>145.6</v>
      </c>
      <c r="J4283">
        <v>100</v>
      </c>
      <c r="K4283">
        <v>100</v>
      </c>
      <c r="L4283" s="1" t="s">
        <v>9975</v>
      </c>
      <c r="M4283" t="s">
        <v>9977</v>
      </c>
      <c r="N4283">
        <v>4</v>
      </c>
    </row>
    <row r="4284" spans="1:14" x14ac:dyDescent="0.25">
      <c r="A4284" s="3" t="str">
        <f>HYPERLINK("http://www.ncbi.nlm.nih.gov/gene/11277","11277")</f>
        <v>11277</v>
      </c>
      <c r="B4284" s="1" t="s">
        <v>9978</v>
      </c>
      <c r="C4284" t="s">
        <v>9979</v>
      </c>
      <c r="D4284">
        <v>249.2</v>
      </c>
      <c r="E4284">
        <v>248.4</v>
      </c>
      <c r="F4284">
        <v>100</v>
      </c>
      <c r="G4284">
        <v>100</v>
      </c>
      <c r="H4284">
        <v>184.8</v>
      </c>
      <c r="I4284">
        <v>184.9</v>
      </c>
      <c r="J4284">
        <v>100</v>
      </c>
      <c r="K4284">
        <v>100</v>
      </c>
      <c r="L4284" s="1" t="s">
        <v>9978</v>
      </c>
      <c r="M4284" t="s">
        <v>9980</v>
      </c>
      <c r="N4284">
        <v>9</v>
      </c>
    </row>
    <row r="4285" spans="1:14" x14ac:dyDescent="0.25">
      <c r="A4285" s="3" t="str">
        <f>HYPERLINK("http://www.ncbi.nlm.nih.gov/gene/7200","7200")</f>
        <v>7200</v>
      </c>
      <c r="B4285" s="1" t="s">
        <v>9981</v>
      </c>
      <c r="C4285" t="s">
        <v>9982</v>
      </c>
      <c r="D4285">
        <v>133.69999999999999</v>
      </c>
      <c r="E4285">
        <v>131.69999999999999</v>
      </c>
      <c r="F4285">
        <v>99.6</v>
      </c>
      <c r="G4285">
        <v>96.5</v>
      </c>
      <c r="H4285">
        <v>129.19999999999999</v>
      </c>
      <c r="I4285">
        <v>130.9</v>
      </c>
      <c r="J4285">
        <v>100</v>
      </c>
      <c r="K4285">
        <v>100</v>
      </c>
      <c r="L4285" s="1" t="s">
        <v>9981</v>
      </c>
      <c r="M4285" t="s">
        <v>53</v>
      </c>
      <c r="N4285">
        <v>2</v>
      </c>
    </row>
    <row r="4286" spans="1:14" x14ac:dyDescent="0.25">
      <c r="A4286" s="3" t="str">
        <f>HYPERLINK("http://www.ncbi.nlm.nih.gov/gene/7201","7201")</f>
        <v>7201</v>
      </c>
      <c r="B4286" s="1" t="s">
        <v>9983</v>
      </c>
      <c r="C4286" t="s">
        <v>9984</v>
      </c>
      <c r="D4286">
        <v>216</v>
      </c>
      <c r="E4286">
        <v>226.8</v>
      </c>
      <c r="F4286">
        <v>100</v>
      </c>
      <c r="G4286">
        <v>99.2</v>
      </c>
      <c r="H4286">
        <v>148.80000000000001</v>
      </c>
      <c r="I4286">
        <v>151.9</v>
      </c>
      <c r="J4286">
        <v>100</v>
      </c>
      <c r="K4286">
        <v>100</v>
      </c>
      <c r="L4286" s="1" t="s">
        <v>9983</v>
      </c>
      <c r="M4286" t="s">
        <v>59</v>
      </c>
      <c r="N4286">
        <v>1</v>
      </c>
    </row>
    <row r="4287" spans="1:14" x14ac:dyDescent="0.25">
      <c r="A4287" s="3" t="str">
        <f>HYPERLINK("http://www.ncbi.nlm.nih.gov/gene/10221","10221")</f>
        <v>10221</v>
      </c>
      <c r="B4287" s="1" t="s">
        <v>9985</v>
      </c>
      <c r="C4287" t="s">
        <v>9986</v>
      </c>
      <c r="D4287">
        <v>206.7</v>
      </c>
      <c r="E4287">
        <v>220.9</v>
      </c>
      <c r="F4287">
        <v>99.5</v>
      </c>
      <c r="G4287">
        <v>91.6</v>
      </c>
      <c r="H4287">
        <v>142.1</v>
      </c>
      <c r="I4287">
        <v>145.30000000000001</v>
      </c>
      <c r="J4287">
        <v>100</v>
      </c>
      <c r="K4287">
        <v>100</v>
      </c>
      <c r="L4287" s="1" t="s">
        <v>9985</v>
      </c>
      <c r="M4287" t="s">
        <v>661</v>
      </c>
      <c r="N4287">
        <v>2</v>
      </c>
    </row>
    <row r="4288" spans="1:14" x14ac:dyDescent="0.25">
      <c r="A4288" s="3" t="str">
        <f>HYPERLINK("http://www.ncbi.nlm.nih.gov/gene/23321","23321")</f>
        <v>23321</v>
      </c>
      <c r="B4288" s="1" t="s">
        <v>9987</v>
      </c>
      <c r="C4288" t="s">
        <v>9988</v>
      </c>
      <c r="D4288">
        <v>164.3</v>
      </c>
      <c r="E4288">
        <v>164.9</v>
      </c>
      <c r="F4288">
        <v>93.9</v>
      </c>
      <c r="G4288">
        <v>93.3</v>
      </c>
      <c r="H4288">
        <v>127.8</v>
      </c>
      <c r="I4288">
        <v>131</v>
      </c>
      <c r="J4288">
        <v>93.9</v>
      </c>
      <c r="K4288">
        <v>93.9</v>
      </c>
      <c r="L4288" s="1" t="s">
        <v>9987</v>
      </c>
      <c r="M4288" t="s">
        <v>44</v>
      </c>
      <c r="N4288">
        <v>3</v>
      </c>
    </row>
    <row r="4289" spans="1:14" x14ac:dyDescent="0.25">
      <c r="A4289" s="3" t="str">
        <f>HYPERLINK("http://www.ncbi.nlm.nih.gov/gene/10346","10346")</f>
        <v>10346</v>
      </c>
      <c r="B4289" s="1" t="s">
        <v>9989</v>
      </c>
      <c r="C4289" t="s">
        <v>9990</v>
      </c>
      <c r="D4289">
        <v>151.1</v>
      </c>
      <c r="E4289">
        <v>152.80000000000001</v>
      </c>
      <c r="F4289">
        <v>100</v>
      </c>
      <c r="G4289">
        <v>100</v>
      </c>
      <c r="H4289">
        <v>147.80000000000001</v>
      </c>
      <c r="I4289">
        <v>151</v>
      </c>
      <c r="J4289">
        <v>100</v>
      </c>
      <c r="K4289">
        <v>100</v>
      </c>
      <c r="L4289" s="1" t="s">
        <v>9989</v>
      </c>
      <c r="M4289" t="s">
        <v>502</v>
      </c>
      <c r="N4289">
        <v>2</v>
      </c>
    </row>
    <row r="4290" spans="1:14" x14ac:dyDescent="0.25">
      <c r="A4290" s="3" t="str">
        <f>HYPERLINK("http://www.ncbi.nlm.nih.gov/gene/10155","10155")</f>
        <v>10155</v>
      </c>
      <c r="B4290" s="1" t="s">
        <v>9991</v>
      </c>
      <c r="C4290" t="s">
        <v>9992</v>
      </c>
      <c r="D4290">
        <v>152.69999999999999</v>
      </c>
      <c r="E4290">
        <v>153.6</v>
      </c>
      <c r="F4290">
        <v>96.8</v>
      </c>
      <c r="G4290">
        <v>95.2</v>
      </c>
      <c r="H4290">
        <v>130.6</v>
      </c>
      <c r="I4290">
        <v>133.5</v>
      </c>
      <c r="J4290">
        <v>99.8</v>
      </c>
      <c r="K4290">
        <v>99.3</v>
      </c>
      <c r="L4290" s="1" t="s">
        <v>9991</v>
      </c>
      <c r="M4290" t="s">
        <v>19</v>
      </c>
      <c r="N4290">
        <v>2</v>
      </c>
    </row>
    <row r="4291" spans="1:14" x14ac:dyDescent="0.25">
      <c r="A4291" s="3" t="str">
        <f>HYPERLINK("http://www.ncbi.nlm.nih.gov/gene/22954","22954")</f>
        <v>22954</v>
      </c>
      <c r="B4291" s="1" t="s">
        <v>9993</v>
      </c>
      <c r="C4291" t="s">
        <v>9994</v>
      </c>
      <c r="D4291">
        <v>144.9</v>
      </c>
      <c r="E4291">
        <v>131.1</v>
      </c>
      <c r="F4291">
        <v>100</v>
      </c>
      <c r="G4291">
        <v>100</v>
      </c>
      <c r="H4291">
        <v>161.6</v>
      </c>
      <c r="I4291">
        <v>162.4</v>
      </c>
      <c r="J4291">
        <v>100</v>
      </c>
      <c r="K4291">
        <v>100</v>
      </c>
      <c r="L4291" s="1" t="s">
        <v>9993</v>
      </c>
      <c r="M4291" t="s">
        <v>9995</v>
      </c>
      <c r="N4291">
        <v>8</v>
      </c>
    </row>
    <row r="4292" spans="1:14" x14ac:dyDescent="0.25">
      <c r="A4292" s="3" t="str">
        <f>HYPERLINK("http://www.ncbi.nlm.nih.gov/gene/55521","55521")</f>
        <v>55521</v>
      </c>
      <c r="B4292" s="1" t="s">
        <v>9996</v>
      </c>
      <c r="C4292" t="s">
        <v>9997</v>
      </c>
      <c r="D4292">
        <v>165.5</v>
      </c>
      <c r="E4292">
        <v>176.3</v>
      </c>
      <c r="F4292">
        <v>100</v>
      </c>
      <c r="G4292">
        <v>99.2</v>
      </c>
      <c r="H4292">
        <v>144</v>
      </c>
      <c r="I4292">
        <v>147.4</v>
      </c>
      <c r="J4292">
        <v>100</v>
      </c>
      <c r="K4292">
        <v>100</v>
      </c>
      <c r="L4292" s="1" t="s">
        <v>9996</v>
      </c>
      <c r="M4292" t="s">
        <v>53</v>
      </c>
      <c r="N4292">
        <v>2</v>
      </c>
    </row>
    <row r="4293" spans="1:14" x14ac:dyDescent="0.25">
      <c r="A4293" s="3" t="str">
        <f>HYPERLINK("http://www.ncbi.nlm.nih.gov/gene/4591","4591")</f>
        <v>4591</v>
      </c>
      <c r="B4293" s="1" t="s">
        <v>9998</v>
      </c>
      <c r="C4293" t="s">
        <v>9999</v>
      </c>
      <c r="D4293">
        <v>137.5</v>
      </c>
      <c r="E4293">
        <v>141.69999999999999</v>
      </c>
      <c r="F4293">
        <v>98.6</v>
      </c>
      <c r="G4293">
        <v>98.1</v>
      </c>
      <c r="H4293">
        <v>128.69999999999999</v>
      </c>
      <c r="I4293">
        <v>132</v>
      </c>
      <c r="J4293">
        <v>98.7</v>
      </c>
      <c r="K4293">
        <v>98.7</v>
      </c>
      <c r="L4293" s="1" t="s">
        <v>9998</v>
      </c>
      <c r="M4293" t="s">
        <v>10000</v>
      </c>
      <c r="N4293">
        <v>5</v>
      </c>
    </row>
    <row r="4294" spans="1:14" x14ac:dyDescent="0.25">
      <c r="A4294" s="3" t="str">
        <f>HYPERLINK("http://www.ncbi.nlm.nih.gov/gene/54765","54765")</f>
        <v>54765</v>
      </c>
      <c r="B4294" s="1" t="s">
        <v>10001</v>
      </c>
      <c r="C4294" t="s">
        <v>10002</v>
      </c>
      <c r="D4294">
        <v>105.5</v>
      </c>
      <c r="E4294">
        <v>109.7</v>
      </c>
      <c r="F4294">
        <v>99.8</v>
      </c>
      <c r="G4294">
        <v>96.3</v>
      </c>
      <c r="H4294">
        <v>152.80000000000001</v>
      </c>
      <c r="I4294">
        <v>157.69999999999999</v>
      </c>
      <c r="J4294">
        <v>100</v>
      </c>
      <c r="K4294">
        <v>100</v>
      </c>
      <c r="L4294" s="1" t="s">
        <v>10001</v>
      </c>
      <c r="M4294" t="s">
        <v>285</v>
      </c>
      <c r="N4294">
        <v>1</v>
      </c>
    </row>
    <row r="4295" spans="1:14" x14ac:dyDescent="0.25">
      <c r="A4295" s="3" t="str">
        <f>HYPERLINK("http://www.ncbi.nlm.nih.gov/gene/84676","84676")</f>
        <v>84676</v>
      </c>
      <c r="B4295" s="1" t="s">
        <v>10003</v>
      </c>
      <c r="C4295" t="s">
        <v>10004</v>
      </c>
      <c r="D4295">
        <v>112.8</v>
      </c>
      <c r="E4295">
        <v>118.9</v>
      </c>
      <c r="F4295">
        <v>100</v>
      </c>
      <c r="G4295">
        <v>100</v>
      </c>
      <c r="H4295">
        <v>134.9</v>
      </c>
      <c r="I4295">
        <v>138.5</v>
      </c>
      <c r="J4295">
        <v>100</v>
      </c>
      <c r="K4295">
        <v>100</v>
      </c>
      <c r="L4295" s="1" t="s">
        <v>10003</v>
      </c>
      <c r="M4295" t="s">
        <v>197</v>
      </c>
      <c r="N4295">
        <v>2</v>
      </c>
    </row>
    <row r="4296" spans="1:14" x14ac:dyDescent="0.25">
      <c r="A4296" s="3" t="str">
        <f>HYPERLINK("http://www.ncbi.nlm.nih.gov/gene/81603","81603")</f>
        <v>81603</v>
      </c>
      <c r="B4296" s="1" t="s">
        <v>10005</v>
      </c>
      <c r="C4296" t="s">
        <v>10006</v>
      </c>
      <c r="D4296">
        <v>142.6</v>
      </c>
      <c r="E4296">
        <v>125.6</v>
      </c>
      <c r="F4296">
        <v>99.3</v>
      </c>
      <c r="G4296">
        <v>97.2</v>
      </c>
      <c r="H4296">
        <v>137.1</v>
      </c>
      <c r="I4296">
        <v>142.19999999999999</v>
      </c>
      <c r="J4296">
        <v>100</v>
      </c>
      <c r="K4296">
        <v>100</v>
      </c>
      <c r="L4296" s="1" t="s">
        <v>10005</v>
      </c>
      <c r="M4296" t="s">
        <v>189</v>
      </c>
      <c r="N4296">
        <v>2</v>
      </c>
    </row>
    <row r="4297" spans="1:14" x14ac:dyDescent="0.25">
      <c r="A4297" s="3" t="str">
        <f>HYPERLINK("http://www.ncbi.nlm.nih.gov/gene/7204","7204")</f>
        <v>7204</v>
      </c>
      <c r="B4297" s="1" t="s">
        <v>10007</v>
      </c>
      <c r="C4297" t="s">
        <v>10008</v>
      </c>
      <c r="D4297">
        <v>132.80000000000001</v>
      </c>
      <c r="E4297">
        <v>136.19999999999999</v>
      </c>
      <c r="F4297">
        <v>99.2</v>
      </c>
      <c r="G4297">
        <v>97.5</v>
      </c>
      <c r="H4297">
        <v>131.1</v>
      </c>
      <c r="I4297">
        <v>134.30000000000001</v>
      </c>
      <c r="J4297">
        <v>99.3</v>
      </c>
      <c r="K4297">
        <v>98.4</v>
      </c>
      <c r="L4297" s="1" t="s">
        <v>10007</v>
      </c>
      <c r="M4297" t="s">
        <v>189</v>
      </c>
      <c r="N4297">
        <v>2</v>
      </c>
    </row>
    <row r="4298" spans="1:14" x14ac:dyDescent="0.25">
      <c r="A4298" s="3" t="str">
        <f>HYPERLINK("http://www.ncbi.nlm.nih.gov/gene/11078","11078")</f>
        <v>11078</v>
      </c>
      <c r="B4298" s="1" t="s">
        <v>10009</v>
      </c>
      <c r="C4298" t="s">
        <v>10010</v>
      </c>
      <c r="D4298">
        <v>181.3</v>
      </c>
      <c r="E4298">
        <v>184.6</v>
      </c>
      <c r="F4298">
        <v>97.8</v>
      </c>
      <c r="G4298">
        <v>96.1</v>
      </c>
      <c r="H4298">
        <v>192.1</v>
      </c>
      <c r="I4298">
        <v>184.9</v>
      </c>
      <c r="J4298">
        <v>99.9</v>
      </c>
      <c r="K4298">
        <v>99.6</v>
      </c>
      <c r="L4298" s="1" t="s">
        <v>10009</v>
      </c>
      <c r="M4298" t="s">
        <v>269</v>
      </c>
      <c r="N4298">
        <v>3</v>
      </c>
    </row>
    <row r="4299" spans="1:14" x14ac:dyDescent="0.25">
      <c r="A4299" s="3" t="str">
        <f>HYPERLINK("http://www.ncbi.nlm.nih.gov/gene/9321","9321")</f>
        <v>9321</v>
      </c>
      <c r="B4299" s="1" t="s">
        <v>10011</v>
      </c>
      <c r="C4299" t="s">
        <v>10012</v>
      </c>
      <c r="D4299">
        <v>110.8</v>
      </c>
      <c r="E4299">
        <v>94.5</v>
      </c>
      <c r="F4299">
        <v>98.4</v>
      </c>
      <c r="G4299">
        <v>94</v>
      </c>
      <c r="H4299">
        <v>133.69999999999999</v>
      </c>
      <c r="I4299">
        <v>134.80000000000001</v>
      </c>
      <c r="J4299">
        <v>100</v>
      </c>
      <c r="K4299">
        <v>100</v>
      </c>
      <c r="L4299" s="1" t="s">
        <v>10011</v>
      </c>
      <c r="M4299" t="s">
        <v>1168</v>
      </c>
      <c r="N4299">
        <v>3</v>
      </c>
    </row>
    <row r="4300" spans="1:14" x14ac:dyDescent="0.25">
      <c r="A4300" s="3" t="str">
        <f>HYPERLINK("http://www.ncbi.nlm.nih.gov/gene/9320","9320")</f>
        <v>9320</v>
      </c>
      <c r="B4300" s="1" t="s">
        <v>10013</v>
      </c>
      <c r="C4300" t="s">
        <v>10014</v>
      </c>
      <c r="D4300">
        <v>162.5</v>
      </c>
      <c r="E4300">
        <v>166.8</v>
      </c>
      <c r="F4300">
        <v>99.9</v>
      </c>
      <c r="G4300">
        <v>99.2</v>
      </c>
      <c r="H4300">
        <v>135.30000000000001</v>
      </c>
      <c r="I4300">
        <v>138.69999999999999</v>
      </c>
      <c r="J4300">
        <v>100</v>
      </c>
      <c r="K4300">
        <v>100</v>
      </c>
      <c r="L4300" s="1" t="s">
        <v>10013</v>
      </c>
      <c r="M4300" t="s">
        <v>189</v>
      </c>
      <c r="N4300">
        <v>2</v>
      </c>
    </row>
    <row r="4301" spans="1:14" x14ac:dyDescent="0.25">
      <c r="A4301" s="3" t="str">
        <f>HYPERLINK("http://www.ncbi.nlm.nih.gov/gene/9319","9319")</f>
        <v>9319</v>
      </c>
      <c r="B4301" s="1" t="s">
        <v>10015</v>
      </c>
      <c r="C4301" t="s">
        <v>10016</v>
      </c>
      <c r="D4301">
        <v>160.1</v>
      </c>
      <c r="E4301">
        <v>165</v>
      </c>
      <c r="F4301">
        <v>100</v>
      </c>
      <c r="G4301">
        <v>100</v>
      </c>
      <c r="H4301">
        <v>123.4</v>
      </c>
      <c r="I4301">
        <v>125.8</v>
      </c>
      <c r="J4301">
        <v>100</v>
      </c>
      <c r="K4301">
        <v>100</v>
      </c>
      <c r="L4301" s="1" t="s">
        <v>10015</v>
      </c>
      <c r="M4301" t="s">
        <v>6020</v>
      </c>
      <c r="N4301">
        <v>3</v>
      </c>
    </row>
    <row r="4302" spans="1:14" x14ac:dyDescent="0.25">
      <c r="A4302" s="3" t="str">
        <f>HYPERLINK("http://www.ncbi.nlm.nih.gov/gene/9325","9325")</f>
        <v>9325</v>
      </c>
      <c r="B4302" s="1" t="s">
        <v>10017</v>
      </c>
      <c r="C4302" t="s">
        <v>10018</v>
      </c>
      <c r="D4302">
        <v>118.8</v>
      </c>
      <c r="E4302">
        <v>124.2</v>
      </c>
      <c r="F4302">
        <v>100</v>
      </c>
      <c r="G4302">
        <v>99.1</v>
      </c>
      <c r="H4302">
        <v>125.8</v>
      </c>
      <c r="I4302">
        <v>129.69999999999999</v>
      </c>
      <c r="J4302">
        <v>100</v>
      </c>
      <c r="K4302">
        <v>100</v>
      </c>
      <c r="L4302" s="1" t="s">
        <v>10017</v>
      </c>
      <c r="M4302" t="s">
        <v>1147</v>
      </c>
      <c r="N4302">
        <v>4</v>
      </c>
    </row>
    <row r="4303" spans="1:14" x14ac:dyDescent="0.25">
      <c r="A4303" s="3" t="str">
        <f>HYPERLINK("http://www.ncbi.nlm.nih.gov/gene/54802","54802")</f>
        <v>54802</v>
      </c>
      <c r="B4303" s="1" t="s">
        <v>10019</v>
      </c>
      <c r="C4303" t="s">
        <v>10020</v>
      </c>
      <c r="D4303">
        <v>128.4</v>
      </c>
      <c r="E4303">
        <v>133</v>
      </c>
      <c r="F4303">
        <v>100</v>
      </c>
      <c r="G4303">
        <v>100</v>
      </c>
      <c r="H4303">
        <v>130.1</v>
      </c>
      <c r="I4303">
        <v>133.9</v>
      </c>
      <c r="J4303">
        <v>100</v>
      </c>
      <c r="K4303">
        <v>100</v>
      </c>
      <c r="L4303" s="1" t="s">
        <v>10019</v>
      </c>
      <c r="M4303" t="s">
        <v>830</v>
      </c>
      <c r="N4303">
        <v>4</v>
      </c>
    </row>
    <row r="4304" spans="1:14" x14ac:dyDescent="0.25">
      <c r="A4304" s="3" t="str">
        <f>HYPERLINK("http://www.ncbi.nlm.nih.gov/gene/55621","55621")</f>
        <v>55621</v>
      </c>
      <c r="B4304" s="1" t="s">
        <v>10021</v>
      </c>
      <c r="C4304" t="s">
        <v>10022</v>
      </c>
      <c r="D4304">
        <v>131.19999999999999</v>
      </c>
      <c r="E4304">
        <v>131.4</v>
      </c>
      <c r="F4304">
        <v>99.4</v>
      </c>
      <c r="G4304">
        <v>96.2</v>
      </c>
      <c r="H4304">
        <v>134.6</v>
      </c>
      <c r="I4304">
        <v>138.6</v>
      </c>
      <c r="J4304">
        <v>100</v>
      </c>
      <c r="K4304">
        <v>100</v>
      </c>
      <c r="L4304" s="1" t="s">
        <v>10021</v>
      </c>
      <c r="M4304" t="s">
        <v>228</v>
      </c>
      <c r="N4304">
        <v>3</v>
      </c>
    </row>
    <row r="4305" spans="1:14" x14ac:dyDescent="0.25">
      <c r="A4305" s="3" t="str">
        <f>HYPERLINK("http://www.ncbi.nlm.nih.gov/gene/93587","93587")</f>
        <v>93587</v>
      </c>
      <c r="B4305" s="1" t="s">
        <v>10023</v>
      </c>
      <c r="C4305" t="s">
        <v>10024</v>
      </c>
      <c r="D4305">
        <v>150.4</v>
      </c>
      <c r="E4305">
        <v>157.5</v>
      </c>
      <c r="F4305">
        <v>100</v>
      </c>
      <c r="G4305">
        <v>99.7</v>
      </c>
      <c r="H4305">
        <v>143.1</v>
      </c>
      <c r="I4305">
        <v>147.9</v>
      </c>
      <c r="J4305">
        <v>100</v>
      </c>
      <c r="K4305">
        <v>100</v>
      </c>
      <c r="L4305" s="1" t="s">
        <v>10023</v>
      </c>
      <c r="M4305" t="s">
        <v>228</v>
      </c>
      <c r="N4305">
        <v>3</v>
      </c>
    </row>
    <row r="4306" spans="1:14" x14ac:dyDescent="0.25">
      <c r="A4306" s="3" t="str">
        <f>HYPERLINK("http://www.ncbi.nlm.nih.gov/gene/54931","54931")</f>
        <v>54931</v>
      </c>
      <c r="B4306" s="1" t="s">
        <v>10025</v>
      </c>
      <c r="C4306" t="s">
        <v>10026</v>
      </c>
      <c r="D4306">
        <v>164.5</v>
      </c>
      <c r="E4306">
        <v>157.4</v>
      </c>
      <c r="F4306">
        <v>100</v>
      </c>
      <c r="G4306">
        <v>100</v>
      </c>
      <c r="H4306">
        <v>117.5</v>
      </c>
      <c r="I4306">
        <v>118.5</v>
      </c>
      <c r="J4306">
        <v>100</v>
      </c>
      <c r="K4306">
        <v>99.9</v>
      </c>
      <c r="L4306" s="1" t="s">
        <v>10025</v>
      </c>
      <c r="M4306" t="s">
        <v>766</v>
      </c>
      <c r="N4306">
        <v>3</v>
      </c>
    </row>
    <row r="4307" spans="1:14" x14ac:dyDescent="0.25">
      <c r="A4307" s="3" t="str">
        <f>HYPERLINK("http://www.ncbi.nlm.nih.gov/gene/57570","57570")</f>
        <v>57570</v>
      </c>
      <c r="B4307" s="1" t="s">
        <v>10027</v>
      </c>
      <c r="C4307" t="s">
        <v>10028</v>
      </c>
      <c r="D4307">
        <v>226.2</v>
      </c>
      <c r="E4307">
        <v>217.7</v>
      </c>
      <c r="F4307">
        <v>100</v>
      </c>
      <c r="G4307">
        <v>99.3</v>
      </c>
      <c r="H4307">
        <v>145.9</v>
      </c>
      <c r="I4307">
        <v>147.4</v>
      </c>
      <c r="J4307">
        <v>100</v>
      </c>
      <c r="K4307">
        <v>100</v>
      </c>
      <c r="L4307" s="1" t="s">
        <v>10027</v>
      </c>
      <c r="M4307" t="s">
        <v>766</v>
      </c>
      <c r="N4307">
        <v>3</v>
      </c>
    </row>
    <row r="4308" spans="1:14" x14ac:dyDescent="0.25">
      <c r="A4308" s="3" t="str">
        <f>HYPERLINK("http://www.ncbi.nlm.nih.gov/gene/55687","55687")</f>
        <v>55687</v>
      </c>
      <c r="B4308" s="1" t="s">
        <v>10029</v>
      </c>
      <c r="C4308" t="s">
        <v>10030</v>
      </c>
      <c r="D4308">
        <v>100.6</v>
      </c>
      <c r="E4308">
        <v>103.5</v>
      </c>
      <c r="F4308">
        <v>100</v>
      </c>
      <c r="G4308">
        <v>100</v>
      </c>
      <c r="H4308">
        <v>125</v>
      </c>
      <c r="I4308">
        <v>129.19999999999999</v>
      </c>
      <c r="J4308">
        <v>100</v>
      </c>
      <c r="K4308">
        <v>99.9</v>
      </c>
      <c r="L4308" s="1" t="s">
        <v>10029</v>
      </c>
      <c r="M4308" t="s">
        <v>10031</v>
      </c>
      <c r="N4308">
        <v>4</v>
      </c>
    </row>
    <row r="4309" spans="1:14" x14ac:dyDescent="0.25">
      <c r="A4309" s="3" t="str">
        <f>HYPERLINK("http://www.ncbi.nlm.nih.gov/gene/51095","51095")</f>
        <v>51095</v>
      </c>
      <c r="B4309" s="1" t="s">
        <v>10032</v>
      </c>
      <c r="C4309" t="s">
        <v>10033</v>
      </c>
      <c r="D4309">
        <v>101.6</v>
      </c>
      <c r="E4309">
        <v>108.4</v>
      </c>
      <c r="F4309">
        <v>99.5</v>
      </c>
      <c r="G4309">
        <v>96.5</v>
      </c>
      <c r="H4309">
        <v>112.6</v>
      </c>
      <c r="I4309">
        <v>116.7</v>
      </c>
      <c r="J4309">
        <v>100</v>
      </c>
      <c r="K4309">
        <v>100</v>
      </c>
      <c r="L4309" s="1" t="s">
        <v>10032</v>
      </c>
      <c r="M4309" t="s">
        <v>10034</v>
      </c>
      <c r="N4309">
        <v>7</v>
      </c>
    </row>
    <row r="4310" spans="1:14" x14ac:dyDescent="0.25">
      <c r="A4310" s="3" t="str">
        <f>HYPERLINK("http://www.ncbi.nlm.nih.gov/gene/8989","8989")</f>
        <v>8989</v>
      </c>
      <c r="B4310" s="1" t="s">
        <v>10035</v>
      </c>
      <c r="C4310" t="s">
        <v>10036</v>
      </c>
      <c r="D4310">
        <v>94.5</v>
      </c>
      <c r="E4310">
        <v>99.7</v>
      </c>
      <c r="F4310">
        <v>96.1</v>
      </c>
      <c r="G4310">
        <v>89.8</v>
      </c>
      <c r="H4310">
        <v>130</v>
      </c>
      <c r="I4310">
        <v>133.5</v>
      </c>
      <c r="J4310">
        <v>100</v>
      </c>
      <c r="K4310">
        <v>100</v>
      </c>
      <c r="L4310" s="1" t="s">
        <v>10035</v>
      </c>
      <c r="M4310" t="s">
        <v>1335</v>
      </c>
      <c r="N4310">
        <v>2</v>
      </c>
    </row>
    <row r="4311" spans="1:14" x14ac:dyDescent="0.25">
      <c r="A4311" s="3" t="str">
        <f>HYPERLINK("http://www.ncbi.nlm.nih.gov/gene/7222","7222")</f>
        <v>7222</v>
      </c>
      <c r="B4311" s="1" t="s">
        <v>10037</v>
      </c>
      <c r="C4311" t="s">
        <v>10038</v>
      </c>
      <c r="D4311">
        <v>140.69999999999999</v>
      </c>
      <c r="E4311">
        <v>146.80000000000001</v>
      </c>
      <c r="F4311">
        <v>99.7</v>
      </c>
      <c r="G4311">
        <v>98</v>
      </c>
      <c r="H4311">
        <v>145.6</v>
      </c>
      <c r="I4311">
        <v>151</v>
      </c>
      <c r="J4311">
        <v>100</v>
      </c>
      <c r="K4311">
        <v>100</v>
      </c>
      <c r="L4311" s="1" t="s">
        <v>10037</v>
      </c>
      <c r="M4311" t="s">
        <v>285</v>
      </c>
      <c r="N4311">
        <v>1</v>
      </c>
    </row>
    <row r="4312" spans="1:14" x14ac:dyDescent="0.25">
      <c r="A4312" s="3" t="str">
        <f>HYPERLINK("http://www.ncbi.nlm.nih.gov/gene/7225","7225")</f>
        <v>7225</v>
      </c>
      <c r="B4312" s="1" t="s">
        <v>10039</v>
      </c>
      <c r="C4312" t="s">
        <v>10040</v>
      </c>
      <c r="D4312">
        <v>112.5</v>
      </c>
      <c r="E4312">
        <v>109.9</v>
      </c>
      <c r="F4312">
        <v>98.2</v>
      </c>
      <c r="G4312">
        <v>96.1</v>
      </c>
      <c r="H4312">
        <v>144.80000000000001</v>
      </c>
      <c r="I4312">
        <v>149</v>
      </c>
      <c r="J4312">
        <v>100</v>
      </c>
      <c r="K4312">
        <v>100</v>
      </c>
      <c r="L4312" s="1" t="s">
        <v>10039</v>
      </c>
      <c r="M4312" t="s">
        <v>200</v>
      </c>
      <c r="N4312">
        <v>2</v>
      </c>
    </row>
    <row r="4313" spans="1:14" x14ac:dyDescent="0.25">
      <c r="A4313" s="3" t="str">
        <f>HYPERLINK("http://www.ncbi.nlm.nih.gov/gene/4308","4308")</f>
        <v>4308</v>
      </c>
      <c r="B4313" s="1" t="s">
        <v>10041</v>
      </c>
      <c r="C4313" t="s">
        <v>10042</v>
      </c>
      <c r="D4313">
        <v>143.1</v>
      </c>
      <c r="E4313">
        <v>151</v>
      </c>
      <c r="F4313">
        <v>100</v>
      </c>
      <c r="G4313">
        <v>99.8</v>
      </c>
      <c r="H4313">
        <v>200.4</v>
      </c>
      <c r="I4313">
        <v>206.3</v>
      </c>
      <c r="J4313">
        <v>100</v>
      </c>
      <c r="K4313">
        <v>100</v>
      </c>
      <c r="L4313" s="1" t="s">
        <v>10041</v>
      </c>
      <c r="M4313" t="s">
        <v>2014</v>
      </c>
      <c r="N4313">
        <v>3</v>
      </c>
    </row>
    <row r="4314" spans="1:14" x14ac:dyDescent="0.25">
      <c r="A4314" s="3" t="str">
        <f>HYPERLINK("http://www.ncbi.nlm.nih.gov/gene/80036","80036")</f>
        <v>80036</v>
      </c>
      <c r="B4314" s="1" t="s">
        <v>10043</v>
      </c>
      <c r="C4314" t="s">
        <v>10044</v>
      </c>
      <c r="D4314">
        <v>134.1</v>
      </c>
      <c r="E4314">
        <v>134.30000000000001</v>
      </c>
      <c r="F4314">
        <v>100</v>
      </c>
      <c r="G4314">
        <v>99.5</v>
      </c>
      <c r="H4314">
        <v>146.19999999999999</v>
      </c>
      <c r="I4314">
        <v>149.80000000000001</v>
      </c>
      <c r="J4314">
        <v>100</v>
      </c>
      <c r="K4314">
        <v>100</v>
      </c>
      <c r="L4314" s="1" t="s">
        <v>10043</v>
      </c>
      <c r="M4314" t="s">
        <v>877</v>
      </c>
      <c r="N4314">
        <v>4</v>
      </c>
    </row>
    <row r="4315" spans="1:14" x14ac:dyDescent="0.25">
      <c r="A4315" s="3" t="str">
        <f>HYPERLINK("http://www.ncbi.nlm.nih.gov/gene/54795","54795")</f>
        <v>54795</v>
      </c>
      <c r="B4315" s="1" t="s">
        <v>10045</v>
      </c>
      <c r="C4315" t="s">
        <v>10046</v>
      </c>
      <c r="D4315">
        <v>133.5</v>
      </c>
      <c r="E4315">
        <v>140.1</v>
      </c>
      <c r="F4315">
        <v>100</v>
      </c>
      <c r="G4315">
        <v>99.5</v>
      </c>
      <c r="H4315">
        <v>142.69999999999999</v>
      </c>
      <c r="I4315">
        <v>146.30000000000001</v>
      </c>
      <c r="J4315">
        <v>100</v>
      </c>
      <c r="K4315">
        <v>100</v>
      </c>
      <c r="L4315" s="1" t="s">
        <v>10045</v>
      </c>
      <c r="M4315" t="s">
        <v>10047</v>
      </c>
      <c r="N4315">
        <v>3</v>
      </c>
    </row>
    <row r="4316" spans="1:14" x14ac:dyDescent="0.25">
      <c r="A4316" s="3" t="str">
        <f>HYPERLINK("http://www.ncbi.nlm.nih.gov/gene/140803","140803")</f>
        <v>140803</v>
      </c>
      <c r="B4316" s="1" t="s">
        <v>10048</v>
      </c>
      <c r="C4316" t="s">
        <v>10049</v>
      </c>
      <c r="D4316">
        <v>152.30000000000001</v>
      </c>
      <c r="E4316">
        <v>154.4</v>
      </c>
      <c r="F4316">
        <v>99.9</v>
      </c>
      <c r="G4316">
        <v>99.5</v>
      </c>
      <c r="H4316">
        <v>146.9</v>
      </c>
      <c r="I4316">
        <v>151.4</v>
      </c>
      <c r="J4316">
        <v>100</v>
      </c>
      <c r="K4316">
        <v>100</v>
      </c>
      <c r="L4316" s="1" t="s">
        <v>10048</v>
      </c>
      <c r="M4316" t="s">
        <v>1961</v>
      </c>
      <c r="N4316">
        <v>4</v>
      </c>
    </row>
    <row r="4317" spans="1:14" x14ac:dyDescent="0.25">
      <c r="A4317" s="3" t="str">
        <f>HYPERLINK("http://www.ncbi.nlm.nih.gov/gene/79054","79054")</f>
        <v>79054</v>
      </c>
      <c r="B4317" s="1" t="s">
        <v>10050</v>
      </c>
      <c r="C4317" t="s">
        <v>10051</v>
      </c>
      <c r="D4317">
        <v>116.3</v>
      </c>
      <c r="E4317">
        <v>122</v>
      </c>
      <c r="F4317">
        <v>99.8</v>
      </c>
      <c r="G4317">
        <v>98.8</v>
      </c>
      <c r="H4317">
        <v>140.19999999999999</v>
      </c>
      <c r="I4317">
        <v>144.69999999999999</v>
      </c>
      <c r="J4317">
        <v>100</v>
      </c>
      <c r="K4317">
        <v>100</v>
      </c>
      <c r="L4317" s="1" t="s">
        <v>10050</v>
      </c>
      <c r="M4317" t="s">
        <v>1335</v>
      </c>
      <c r="N4317">
        <v>2</v>
      </c>
    </row>
    <row r="4318" spans="1:14" x14ac:dyDescent="0.25">
      <c r="A4318" s="3" t="str">
        <f>HYPERLINK("http://www.ncbi.nlm.nih.gov/gene/7227","7227")</f>
        <v>7227</v>
      </c>
      <c r="B4318" s="1" t="s">
        <v>10052</v>
      </c>
      <c r="C4318" t="s">
        <v>10053</v>
      </c>
      <c r="D4318">
        <v>193</v>
      </c>
      <c r="E4318">
        <v>190.7</v>
      </c>
      <c r="F4318">
        <v>100</v>
      </c>
      <c r="G4318">
        <v>99.9</v>
      </c>
      <c r="H4318">
        <v>159</v>
      </c>
      <c r="I4318">
        <v>159.19999999999999</v>
      </c>
      <c r="J4318">
        <v>100</v>
      </c>
      <c r="K4318">
        <v>100</v>
      </c>
      <c r="L4318" s="1" t="s">
        <v>10052</v>
      </c>
      <c r="M4318" t="s">
        <v>5371</v>
      </c>
      <c r="N4318">
        <v>3</v>
      </c>
    </row>
    <row r="4319" spans="1:14" x14ac:dyDescent="0.25">
      <c r="A4319" s="3" t="str">
        <f>HYPERLINK("http://www.ncbi.nlm.nih.gov/gene/7442","7442")</f>
        <v>7442</v>
      </c>
      <c r="B4319" s="1" t="s">
        <v>10054</v>
      </c>
      <c r="C4319" t="s">
        <v>10055</v>
      </c>
      <c r="D4319">
        <v>128</v>
      </c>
      <c r="E4319">
        <v>133.4</v>
      </c>
      <c r="F4319">
        <v>100</v>
      </c>
      <c r="G4319">
        <v>99.6</v>
      </c>
      <c r="H4319">
        <v>136.69999999999999</v>
      </c>
      <c r="I4319">
        <v>140.6</v>
      </c>
      <c r="J4319">
        <v>100</v>
      </c>
      <c r="K4319">
        <v>100</v>
      </c>
      <c r="L4319" s="1" t="s">
        <v>10054</v>
      </c>
      <c r="M4319" t="s">
        <v>1335</v>
      </c>
      <c r="N4319">
        <v>2</v>
      </c>
    </row>
    <row r="4320" spans="1:14" x14ac:dyDescent="0.25">
      <c r="A4320" s="3" t="str">
        <f>HYPERLINK("http://www.ncbi.nlm.nih.gov/gene/162514","162514")</f>
        <v>162514</v>
      </c>
      <c r="B4320" s="1" t="s">
        <v>10056</v>
      </c>
      <c r="C4320" t="s">
        <v>10057</v>
      </c>
      <c r="D4320">
        <v>132.19999999999999</v>
      </c>
      <c r="E4320">
        <v>137.80000000000001</v>
      </c>
      <c r="F4320">
        <v>99.8</v>
      </c>
      <c r="G4320">
        <v>98.5</v>
      </c>
      <c r="H4320">
        <v>138.4</v>
      </c>
      <c r="I4320">
        <v>142.6</v>
      </c>
      <c r="J4320">
        <v>97.1</v>
      </c>
      <c r="K4320">
        <v>97.1</v>
      </c>
      <c r="L4320" s="1" t="s">
        <v>10056</v>
      </c>
      <c r="M4320" t="s">
        <v>10058</v>
      </c>
      <c r="N4320">
        <v>3</v>
      </c>
    </row>
    <row r="4321" spans="1:14" x14ac:dyDescent="0.25">
      <c r="A4321" s="3" t="str">
        <f>HYPERLINK("http://www.ncbi.nlm.nih.gov/gene/59341","59341")</f>
        <v>59341</v>
      </c>
      <c r="B4321" s="1" t="s">
        <v>10059</v>
      </c>
      <c r="C4321" t="s">
        <v>10060</v>
      </c>
      <c r="D4321">
        <v>149.9</v>
      </c>
      <c r="E4321">
        <v>158.6</v>
      </c>
      <c r="F4321">
        <v>100</v>
      </c>
      <c r="G4321">
        <v>99.9</v>
      </c>
      <c r="H4321">
        <v>143.30000000000001</v>
      </c>
      <c r="I4321">
        <v>146.9</v>
      </c>
      <c r="J4321">
        <v>100</v>
      </c>
      <c r="K4321">
        <v>100</v>
      </c>
      <c r="L4321" s="1" t="s">
        <v>10059</v>
      </c>
      <c r="M4321" t="s">
        <v>10061</v>
      </c>
      <c r="N4321">
        <v>6</v>
      </c>
    </row>
    <row r="4322" spans="1:14" x14ac:dyDescent="0.25">
      <c r="A4322" s="3" t="str">
        <f>HYPERLINK("http://www.ncbi.nlm.nih.gov/gene/55503","55503")</f>
        <v>55503</v>
      </c>
      <c r="B4322" s="1" t="s">
        <v>10062</v>
      </c>
      <c r="C4322" t="s">
        <v>10063</v>
      </c>
      <c r="D4322">
        <v>150.1</v>
      </c>
      <c r="E4322">
        <v>156.4</v>
      </c>
      <c r="F4322">
        <v>100</v>
      </c>
      <c r="G4322">
        <v>99.5</v>
      </c>
      <c r="H4322">
        <v>180.2</v>
      </c>
      <c r="I4322">
        <v>185.2</v>
      </c>
      <c r="J4322">
        <v>99.9</v>
      </c>
      <c r="K4322">
        <v>98.9</v>
      </c>
      <c r="L4322" s="1" t="s">
        <v>10062</v>
      </c>
      <c r="M4322" t="s">
        <v>1487</v>
      </c>
      <c r="N4322">
        <v>2</v>
      </c>
    </row>
    <row r="4323" spans="1:14" x14ac:dyDescent="0.25">
      <c r="A4323" s="3" t="str">
        <f>HYPERLINK("http://www.ncbi.nlm.nih.gov/gene/8295","8295")</f>
        <v>8295</v>
      </c>
      <c r="B4323" s="1" t="s">
        <v>10064</v>
      </c>
      <c r="C4323" t="s">
        <v>10065</v>
      </c>
      <c r="D4323">
        <v>150.9</v>
      </c>
      <c r="E4323">
        <v>159</v>
      </c>
      <c r="F4323">
        <v>99.9</v>
      </c>
      <c r="G4323">
        <v>99.5</v>
      </c>
      <c r="H4323">
        <v>140</v>
      </c>
      <c r="I4323">
        <v>144.6</v>
      </c>
      <c r="J4323">
        <v>100</v>
      </c>
      <c r="K4323">
        <v>100</v>
      </c>
      <c r="L4323" s="1" t="s">
        <v>10064</v>
      </c>
      <c r="M4323" t="s">
        <v>953</v>
      </c>
      <c r="N4323">
        <v>3</v>
      </c>
    </row>
    <row r="4324" spans="1:14" x14ac:dyDescent="0.25">
      <c r="A4324" s="3" t="str">
        <f>HYPERLINK("http://www.ncbi.nlm.nih.gov/gene/7248","7248")</f>
        <v>7248</v>
      </c>
      <c r="B4324" s="1" t="s">
        <v>10066</v>
      </c>
      <c r="C4324" t="s">
        <v>10067</v>
      </c>
      <c r="D4324">
        <v>138.30000000000001</v>
      </c>
      <c r="E4324">
        <v>137.9</v>
      </c>
      <c r="F4324">
        <v>99.8</v>
      </c>
      <c r="G4324">
        <v>98.8</v>
      </c>
      <c r="H4324">
        <v>146.5</v>
      </c>
      <c r="I4324">
        <v>150.19999999999999</v>
      </c>
      <c r="J4324">
        <v>100</v>
      </c>
      <c r="K4324">
        <v>100</v>
      </c>
      <c r="L4324" s="1" t="s">
        <v>10066</v>
      </c>
      <c r="M4324" t="s">
        <v>10068</v>
      </c>
      <c r="N4324">
        <v>6</v>
      </c>
    </row>
    <row r="4325" spans="1:14" x14ac:dyDescent="0.25">
      <c r="A4325" s="3" t="str">
        <f>HYPERLINK("http://www.ncbi.nlm.nih.gov/gene/7249","7249")</f>
        <v>7249</v>
      </c>
      <c r="B4325" s="1" t="s">
        <v>10069</v>
      </c>
      <c r="C4325" t="s">
        <v>10070</v>
      </c>
      <c r="D4325">
        <v>139</v>
      </c>
      <c r="E4325">
        <v>143.69999999999999</v>
      </c>
      <c r="F4325">
        <v>100</v>
      </c>
      <c r="G4325">
        <v>99.6</v>
      </c>
      <c r="H4325">
        <v>138.80000000000001</v>
      </c>
      <c r="I4325">
        <v>141.9</v>
      </c>
      <c r="J4325">
        <v>100</v>
      </c>
      <c r="K4325">
        <v>100</v>
      </c>
      <c r="L4325" s="1" t="s">
        <v>10069</v>
      </c>
      <c r="M4325" t="s">
        <v>10071</v>
      </c>
      <c r="N4325">
        <v>7</v>
      </c>
    </row>
    <row r="4326" spans="1:14" x14ac:dyDescent="0.25">
      <c r="A4326" s="3" t="str">
        <f>HYPERLINK("http://www.ncbi.nlm.nih.gov/gene/116461","116461")</f>
        <v>116461</v>
      </c>
      <c r="B4326" s="1" t="s">
        <v>10072</v>
      </c>
      <c r="C4326" t="s">
        <v>10073</v>
      </c>
      <c r="D4326">
        <v>73.3</v>
      </c>
      <c r="E4326">
        <v>74.400000000000006</v>
      </c>
      <c r="F4326">
        <v>79</v>
      </c>
      <c r="G4326">
        <v>77.2</v>
      </c>
      <c r="H4326">
        <v>156.5</v>
      </c>
      <c r="I4326">
        <v>161</v>
      </c>
      <c r="J4326">
        <v>100</v>
      </c>
      <c r="K4326">
        <v>100</v>
      </c>
      <c r="L4326" s="1" t="s">
        <v>10072</v>
      </c>
      <c r="M4326" t="s">
        <v>548</v>
      </c>
      <c r="N4326">
        <v>5</v>
      </c>
    </row>
    <row r="4327" spans="1:14" x14ac:dyDescent="0.25">
      <c r="A4327" s="3" t="str">
        <f>HYPERLINK("http://www.ncbi.nlm.nih.gov/gene/80746","80746")</f>
        <v>80746</v>
      </c>
      <c r="B4327" s="1" t="s">
        <v>10074</v>
      </c>
      <c r="C4327" t="s">
        <v>10075</v>
      </c>
      <c r="D4327">
        <v>117</v>
      </c>
      <c r="E4327">
        <v>119</v>
      </c>
      <c r="F4327">
        <v>100</v>
      </c>
      <c r="G4327">
        <v>99.6</v>
      </c>
      <c r="H4327">
        <v>146.1</v>
      </c>
      <c r="I4327">
        <v>148.4</v>
      </c>
      <c r="J4327">
        <v>100</v>
      </c>
      <c r="K4327">
        <v>100</v>
      </c>
      <c r="L4327" s="1" t="s">
        <v>10074</v>
      </c>
      <c r="M4327" t="s">
        <v>548</v>
      </c>
      <c r="N4327">
        <v>5</v>
      </c>
    </row>
    <row r="4328" spans="1:14" x14ac:dyDescent="0.25">
      <c r="A4328" s="3" t="str">
        <f>HYPERLINK("http://www.ncbi.nlm.nih.gov/gene/79042","79042")</f>
        <v>79042</v>
      </c>
      <c r="B4328" s="1" t="s">
        <v>10076</v>
      </c>
      <c r="C4328" t="s">
        <v>10077</v>
      </c>
      <c r="D4328">
        <v>76.5</v>
      </c>
      <c r="E4328">
        <v>74.900000000000006</v>
      </c>
      <c r="F4328">
        <v>90.8</v>
      </c>
      <c r="G4328">
        <v>86.4</v>
      </c>
      <c r="H4328">
        <v>164.3</v>
      </c>
      <c r="I4328">
        <v>167.8</v>
      </c>
      <c r="J4328">
        <v>100</v>
      </c>
      <c r="K4328">
        <v>100</v>
      </c>
      <c r="L4328" s="1" t="s">
        <v>10076</v>
      </c>
      <c r="M4328" t="s">
        <v>53</v>
      </c>
      <c r="N4328">
        <v>2</v>
      </c>
    </row>
    <row r="4329" spans="1:14" x14ac:dyDescent="0.25">
      <c r="A4329" s="3" t="str">
        <f>HYPERLINK("http://www.ncbi.nlm.nih.gov/gene/283989","283989")</f>
        <v>283989</v>
      </c>
      <c r="B4329" s="1" t="s">
        <v>10078</v>
      </c>
      <c r="C4329" t="s">
        <v>10079</v>
      </c>
      <c r="D4329">
        <v>107.4</v>
      </c>
      <c r="E4329">
        <v>113.9</v>
      </c>
      <c r="F4329">
        <v>96.3</v>
      </c>
      <c r="G4329">
        <v>94.3</v>
      </c>
      <c r="H4329">
        <v>134.69999999999999</v>
      </c>
      <c r="I4329">
        <v>135.6</v>
      </c>
      <c r="J4329">
        <v>99.9</v>
      </c>
      <c r="K4329">
        <v>98.9</v>
      </c>
      <c r="L4329" s="1" t="s">
        <v>10078</v>
      </c>
      <c r="M4329" t="s">
        <v>548</v>
      </c>
      <c r="N4329">
        <v>5</v>
      </c>
    </row>
    <row r="4330" spans="1:14" x14ac:dyDescent="0.25">
      <c r="A4330" s="3" t="str">
        <f>HYPERLINK("http://www.ncbi.nlm.nih.gov/gene/10102","10102")</f>
        <v>10102</v>
      </c>
      <c r="B4330" s="1" t="s">
        <v>10080</v>
      </c>
      <c r="C4330" t="s">
        <v>10081</v>
      </c>
      <c r="D4330">
        <v>136</v>
      </c>
      <c r="E4330">
        <v>139.80000000000001</v>
      </c>
      <c r="F4330">
        <v>100</v>
      </c>
      <c r="G4330">
        <v>99.5</v>
      </c>
      <c r="H4330">
        <v>128.30000000000001</v>
      </c>
      <c r="I4330">
        <v>131.9</v>
      </c>
      <c r="J4330">
        <v>94.9</v>
      </c>
      <c r="K4330">
        <v>94.9</v>
      </c>
      <c r="L4330" s="1" t="s">
        <v>10080</v>
      </c>
      <c r="M4330" t="s">
        <v>10082</v>
      </c>
      <c r="N4330">
        <v>5</v>
      </c>
    </row>
    <row r="4331" spans="1:14" x14ac:dyDescent="0.25">
      <c r="A4331" s="3" t="str">
        <f>HYPERLINK("http://www.ncbi.nlm.nih.gov/gene/80705","80705")</f>
        <v>80705</v>
      </c>
      <c r="B4331" s="1" t="s">
        <v>10083</v>
      </c>
      <c r="C4331" t="s">
        <v>10084</v>
      </c>
      <c r="D4331">
        <v>121.9</v>
      </c>
      <c r="E4331">
        <v>126.3</v>
      </c>
      <c r="F4331">
        <v>89.5</v>
      </c>
      <c r="G4331">
        <v>88.8</v>
      </c>
      <c r="H4331">
        <v>124.2</v>
      </c>
      <c r="I4331">
        <v>128</v>
      </c>
      <c r="J4331">
        <v>100</v>
      </c>
      <c r="K4331">
        <v>100</v>
      </c>
      <c r="L4331" s="1" t="s">
        <v>10083</v>
      </c>
      <c r="M4331" t="s">
        <v>59</v>
      </c>
      <c r="N4331">
        <v>1</v>
      </c>
    </row>
    <row r="4332" spans="1:14" x14ac:dyDescent="0.25">
      <c r="A4332" s="3" t="str">
        <f>HYPERLINK("http://www.ncbi.nlm.nih.gov/gene/7252","7252")</f>
        <v>7252</v>
      </c>
      <c r="B4332" s="1" t="s">
        <v>10085</v>
      </c>
      <c r="C4332" t="s">
        <v>10086</v>
      </c>
      <c r="D4332">
        <v>258.8</v>
      </c>
      <c r="E4332">
        <v>285.2</v>
      </c>
      <c r="F4332">
        <v>100</v>
      </c>
      <c r="G4332">
        <v>100</v>
      </c>
      <c r="H4332">
        <v>194.2</v>
      </c>
      <c r="I4332">
        <v>202.1</v>
      </c>
      <c r="J4332">
        <v>100</v>
      </c>
      <c r="K4332">
        <v>100</v>
      </c>
      <c r="L4332" s="1" t="s">
        <v>10085</v>
      </c>
      <c r="M4332" t="s">
        <v>228</v>
      </c>
      <c r="N4332">
        <v>3</v>
      </c>
    </row>
    <row r="4333" spans="1:14" x14ac:dyDescent="0.25">
      <c r="A4333" s="3" t="str">
        <f>HYPERLINK("http://www.ncbi.nlm.nih.gov/gene/7253","7253")</f>
        <v>7253</v>
      </c>
      <c r="B4333" s="1" t="s">
        <v>10087</v>
      </c>
      <c r="C4333" t="s">
        <v>10088</v>
      </c>
      <c r="D4333">
        <v>175.7</v>
      </c>
      <c r="E4333">
        <v>172.2</v>
      </c>
      <c r="F4333">
        <v>96</v>
      </c>
      <c r="G4333">
        <v>95.4</v>
      </c>
      <c r="H4333">
        <v>155.9</v>
      </c>
      <c r="I4333">
        <v>157.19999999999999</v>
      </c>
      <c r="J4333">
        <v>100</v>
      </c>
      <c r="K4333">
        <v>100</v>
      </c>
      <c r="L4333" s="1" t="s">
        <v>10087</v>
      </c>
      <c r="M4333" t="s">
        <v>675</v>
      </c>
      <c r="N4333">
        <v>2</v>
      </c>
    </row>
    <row r="4334" spans="1:14" x14ac:dyDescent="0.25">
      <c r="A4334" s="3" t="str">
        <f>HYPERLINK("http://www.ncbi.nlm.nih.gov/gene/10194","10194")</f>
        <v>10194</v>
      </c>
      <c r="B4334" s="1" t="s">
        <v>10089</v>
      </c>
      <c r="C4334" t="s">
        <v>10090</v>
      </c>
      <c r="D4334">
        <v>187.1</v>
      </c>
      <c r="E4334">
        <v>155</v>
      </c>
      <c r="F4334">
        <v>98.8</v>
      </c>
      <c r="G4334">
        <v>98.8</v>
      </c>
      <c r="H4334">
        <v>157.5</v>
      </c>
      <c r="I4334">
        <v>158.30000000000001</v>
      </c>
      <c r="J4334">
        <v>100</v>
      </c>
      <c r="K4334">
        <v>100</v>
      </c>
      <c r="L4334" s="1" t="s">
        <v>10089</v>
      </c>
      <c r="M4334" t="s">
        <v>10091</v>
      </c>
      <c r="N4334">
        <v>3</v>
      </c>
    </row>
    <row r="4335" spans="1:14" x14ac:dyDescent="0.25">
      <c r="A4335" s="3" t="str">
        <f>HYPERLINK("http://www.ncbi.nlm.nih.gov/gene/23554","23554")</f>
        <v>23554</v>
      </c>
      <c r="B4335" s="1" t="s">
        <v>10092</v>
      </c>
      <c r="C4335" t="s">
        <v>10093</v>
      </c>
      <c r="D4335">
        <v>157.69999999999999</v>
      </c>
      <c r="E4335">
        <v>164</v>
      </c>
      <c r="F4335">
        <v>100</v>
      </c>
      <c r="G4335">
        <v>99.8</v>
      </c>
      <c r="H4335">
        <v>149.80000000000001</v>
      </c>
      <c r="I4335">
        <v>154.69999999999999</v>
      </c>
      <c r="J4335">
        <v>100</v>
      </c>
      <c r="K4335">
        <v>100</v>
      </c>
      <c r="L4335" s="1" t="s">
        <v>10092</v>
      </c>
      <c r="M4335" t="s">
        <v>8030</v>
      </c>
      <c r="N4335">
        <v>3</v>
      </c>
    </row>
    <row r="4336" spans="1:14" x14ac:dyDescent="0.25">
      <c r="A4336" s="3" t="str">
        <f>HYPERLINK("http://www.ncbi.nlm.nih.gov/gene/7102","7102")</f>
        <v>7102</v>
      </c>
      <c r="B4336" s="1" t="s">
        <v>10094</v>
      </c>
      <c r="C4336" t="s">
        <v>10095</v>
      </c>
      <c r="D4336">
        <v>129.30000000000001</v>
      </c>
      <c r="E4336">
        <v>134.19999999999999</v>
      </c>
      <c r="F4336">
        <v>100</v>
      </c>
      <c r="G4336">
        <v>100</v>
      </c>
      <c r="H4336">
        <v>135.19999999999999</v>
      </c>
      <c r="I4336">
        <v>138.6</v>
      </c>
      <c r="J4336">
        <v>100</v>
      </c>
      <c r="K4336">
        <v>100</v>
      </c>
      <c r="L4336" s="1" t="s">
        <v>10094</v>
      </c>
      <c r="M4336" t="s">
        <v>1240</v>
      </c>
      <c r="N4336">
        <v>2</v>
      </c>
    </row>
    <row r="4337" spans="1:14" x14ac:dyDescent="0.25">
      <c r="A4337" s="3" t="str">
        <f>HYPERLINK("http://www.ncbi.nlm.nih.gov/gene/54084","54084")</f>
        <v>54084</v>
      </c>
      <c r="B4337" s="1" t="s">
        <v>10096</v>
      </c>
      <c r="C4337" t="s">
        <v>10097</v>
      </c>
      <c r="D4337">
        <v>151.69999999999999</v>
      </c>
      <c r="E4337">
        <v>160.30000000000001</v>
      </c>
      <c r="F4337">
        <v>100</v>
      </c>
      <c r="G4337">
        <v>99.2</v>
      </c>
      <c r="H4337">
        <v>133.30000000000001</v>
      </c>
      <c r="I4337">
        <v>138.30000000000001</v>
      </c>
      <c r="J4337">
        <v>100</v>
      </c>
      <c r="K4337">
        <v>100</v>
      </c>
      <c r="L4337" s="1" t="s">
        <v>10096</v>
      </c>
      <c r="M4337" t="s">
        <v>3536</v>
      </c>
      <c r="N4337">
        <v>5</v>
      </c>
    </row>
    <row r="4338" spans="1:14" x14ac:dyDescent="0.25">
      <c r="A4338" s="3" t="str">
        <f>HYPERLINK("http://www.ncbi.nlm.nih.gov/gene/7259","7259")</f>
        <v>7259</v>
      </c>
      <c r="B4338" s="1" t="s">
        <v>10098</v>
      </c>
      <c r="C4338" t="s">
        <v>10099</v>
      </c>
      <c r="D4338">
        <v>150.30000000000001</v>
      </c>
      <c r="E4338">
        <v>147.6</v>
      </c>
      <c r="F4338">
        <v>100</v>
      </c>
      <c r="G4338">
        <v>100</v>
      </c>
      <c r="H4338">
        <v>161.9</v>
      </c>
      <c r="I4338">
        <v>160.9</v>
      </c>
      <c r="J4338">
        <v>100</v>
      </c>
      <c r="K4338">
        <v>100</v>
      </c>
      <c r="L4338" s="1" t="s">
        <v>10098</v>
      </c>
      <c r="M4338" t="s">
        <v>1472</v>
      </c>
      <c r="N4338">
        <v>3</v>
      </c>
    </row>
    <row r="4339" spans="1:14" x14ac:dyDescent="0.25">
      <c r="A4339" s="3" t="str">
        <f>HYPERLINK("http://www.ncbi.nlm.nih.gov/gene/90121","90121")</f>
        <v>90121</v>
      </c>
      <c r="B4339" s="1" t="s">
        <v>10100</v>
      </c>
      <c r="C4339" t="s">
        <v>10101</v>
      </c>
      <c r="D4339">
        <v>86.1</v>
      </c>
      <c r="E4339">
        <v>87.3</v>
      </c>
      <c r="F4339">
        <v>100</v>
      </c>
      <c r="G4339">
        <v>100</v>
      </c>
      <c r="H4339">
        <v>129.69999999999999</v>
      </c>
      <c r="I4339">
        <v>132.5</v>
      </c>
      <c r="J4339">
        <v>100</v>
      </c>
      <c r="K4339">
        <v>99.9</v>
      </c>
      <c r="L4339" s="1" t="s">
        <v>10100</v>
      </c>
      <c r="M4339" t="s">
        <v>10102</v>
      </c>
      <c r="N4339">
        <v>2</v>
      </c>
    </row>
    <row r="4340" spans="1:14" x14ac:dyDescent="0.25">
      <c r="A4340" s="3" t="str">
        <f>HYPERLINK("http://www.ncbi.nlm.nih.gov/gene/146057","146057")</f>
        <v>146057</v>
      </c>
      <c r="B4340" s="1" t="s">
        <v>10103</v>
      </c>
      <c r="C4340" t="s">
        <v>10104</v>
      </c>
      <c r="D4340">
        <v>132.1</v>
      </c>
      <c r="E4340">
        <v>134.6</v>
      </c>
      <c r="F4340">
        <v>99.8</v>
      </c>
      <c r="G4340">
        <v>97.6</v>
      </c>
      <c r="H4340">
        <v>140.1</v>
      </c>
      <c r="I4340">
        <v>144.5</v>
      </c>
      <c r="J4340">
        <v>100</v>
      </c>
      <c r="K4340">
        <v>100</v>
      </c>
      <c r="L4340" s="1" t="s">
        <v>10103</v>
      </c>
      <c r="M4340" t="s">
        <v>10105</v>
      </c>
      <c r="N4340">
        <v>3</v>
      </c>
    </row>
    <row r="4341" spans="1:14" x14ac:dyDescent="0.25">
      <c r="A4341" s="3" t="str">
        <f>HYPERLINK("http://www.ncbi.nlm.nih.gov/gene/54902","54902")</f>
        <v>54902</v>
      </c>
      <c r="B4341" s="1" t="s">
        <v>10106</v>
      </c>
      <c r="C4341" t="s">
        <v>10107</v>
      </c>
      <c r="D4341">
        <v>87.9</v>
      </c>
      <c r="E4341">
        <v>89.7</v>
      </c>
      <c r="F4341">
        <v>81.5</v>
      </c>
      <c r="G4341">
        <v>73.8</v>
      </c>
      <c r="H4341">
        <v>113.9</v>
      </c>
      <c r="I4341">
        <v>117</v>
      </c>
      <c r="J4341">
        <v>100</v>
      </c>
      <c r="K4341">
        <v>99.2</v>
      </c>
      <c r="L4341" s="1" t="s">
        <v>10106</v>
      </c>
      <c r="M4341" t="s">
        <v>5824</v>
      </c>
      <c r="N4341">
        <v>6</v>
      </c>
    </row>
    <row r="4342" spans="1:14" x14ac:dyDescent="0.25">
      <c r="A4342" s="3" t="str">
        <f>HYPERLINK("http://www.ncbi.nlm.nih.gov/gene/199223","199223")</f>
        <v>199223</v>
      </c>
      <c r="B4342" s="1" t="s">
        <v>10108</v>
      </c>
      <c r="C4342" t="s">
        <v>10109</v>
      </c>
      <c r="D4342">
        <v>135</v>
      </c>
      <c r="E4342">
        <v>140</v>
      </c>
      <c r="F4342">
        <v>100</v>
      </c>
      <c r="G4342">
        <v>100</v>
      </c>
      <c r="H4342">
        <v>130.6</v>
      </c>
      <c r="I4342">
        <v>134.4</v>
      </c>
      <c r="J4342">
        <v>100</v>
      </c>
      <c r="K4342">
        <v>100</v>
      </c>
      <c r="L4342" s="1" t="s">
        <v>10108</v>
      </c>
      <c r="M4342" t="s">
        <v>59</v>
      </c>
      <c r="N4342">
        <v>1</v>
      </c>
    </row>
    <row r="4343" spans="1:14" x14ac:dyDescent="0.25">
      <c r="A4343" s="3" t="str">
        <f>HYPERLINK("http://www.ncbi.nlm.nih.gov/gene/79809","79809")</f>
        <v>79809</v>
      </c>
      <c r="B4343" s="1" t="s">
        <v>10110</v>
      </c>
      <c r="C4343" t="s">
        <v>10111</v>
      </c>
      <c r="D4343">
        <v>142.69999999999999</v>
      </c>
      <c r="E4343">
        <v>148.80000000000001</v>
      </c>
      <c r="F4343">
        <v>99.9</v>
      </c>
      <c r="G4343">
        <v>99.3</v>
      </c>
      <c r="H4343">
        <v>136</v>
      </c>
      <c r="I4343">
        <v>140.1</v>
      </c>
      <c r="J4343">
        <v>100</v>
      </c>
      <c r="K4343">
        <v>100</v>
      </c>
      <c r="L4343" s="1" t="s">
        <v>10110</v>
      </c>
      <c r="M4343" t="s">
        <v>10112</v>
      </c>
      <c r="N4343">
        <v>5</v>
      </c>
    </row>
    <row r="4344" spans="1:14" x14ac:dyDescent="0.25">
      <c r="A4344" s="3" t="str">
        <f>HYPERLINK("http://www.ncbi.nlm.nih.gov/gene/79989","79989")</f>
        <v>79989</v>
      </c>
      <c r="B4344" s="1" t="s">
        <v>10113</v>
      </c>
      <c r="C4344" t="s">
        <v>10114</v>
      </c>
      <c r="D4344">
        <v>164.2</v>
      </c>
      <c r="E4344">
        <v>168.2</v>
      </c>
      <c r="F4344">
        <v>99.9</v>
      </c>
      <c r="G4344">
        <v>98.8</v>
      </c>
      <c r="H4344">
        <v>125.6</v>
      </c>
      <c r="I4344">
        <v>128.4</v>
      </c>
      <c r="J4344">
        <v>100</v>
      </c>
      <c r="K4344">
        <v>100</v>
      </c>
      <c r="L4344" s="1" t="s">
        <v>10113</v>
      </c>
      <c r="M4344" t="s">
        <v>1495</v>
      </c>
      <c r="N4344">
        <v>2</v>
      </c>
    </row>
    <row r="4345" spans="1:14" x14ac:dyDescent="0.25">
      <c r="A4345" s="3" t="str">
        <f>HYPERLINK("http://www.ncbi.nlm.nih.gov/gene/9652","9652")</f>
        <v>9652</v>
      </c>
      <c r="B4345" s="1" t="s">
        <v>10115</v>
      </c>
      <c r="C4345" t="s">
        <v>10116</v>
      </c>
      <c r="D4345">
        <v>160.80000000000001</v>
      </c>
      <c r="E4345">
        <v>165.8</v>
      </c>
      <c r="F4345">
        <v>100</v>
      </c>
      <c r="G4345">
        <v>99.3</v>
      </c>
      <c r="H4345">
        <v>133</v>
      </c>
      <c r="I4345">
        <v>136.6</v>
      </c>
      <c r="J4345">
        <v>100</v>
      </c>
      <c r="K4345">
        <v>100</v>
      </c>
      <c r="L4345" s="1" t="s">
        <v>10115</v>
      </c>
      <c r="M4345" t="s">
        <v>10117</v>
      </c>
      <c r="N4345">
        <v>6</v>
      </c>
    </row>
    <row r="4346" spans="1:14" x14ac:dyDescent="0.25">
      <c r="A4346" s="3" t="str">
        <f>HYPERLINK("http://www.ncbi.nlm.nih.gov/gene/91875","91875")</f>
        <v>91875</v>
      </c>
      <c r="B4346" s="1" t="s">
        <v>10118</v>
      </c>
      <c r="C4346" t="s">
        <v>10119</v>
      </c>
      <c r="D4346">
        <v>93</v>
      </c>
      <c r="E4346">
        <v>97.5</v>
      </c>
      <c r="F4346">
        <v>100</v>
      </c>
      <c r="G4346">
        <v>99.9</v>
      </c>
      <c r="H4346">
        <v>132.69999999999999</v>
      </c>
      <c r="I4346">
        <v>136.4</v>
      </c>
      <c r="J4346">
        <v>100</v>
      </c>
      <c r="K4346">
        <v>100</v>
      </c>
      <c r="L4346" s="1" t="s">
        <v>10118</v>
      </c>
      <c r="M4346" t="s">
        <v>50</v>
      </c>
      <c r="N4346">
        <v>2</v>
      </c>
    </row>
    <row r="4347" spans="1:14" x14ac:dyDescent="0.25">
      <c r="A4347" s="3" t="str">
        <f>HYPERLINK("http://www.ncbi.nlm.nih.gov/gene/57217","57217")</f>
        <v>57217</v>
      </c>
      <c r="B4347" s="1" t="s">
        <v>10120</v>
      </c>
      <c r="C4347" t="s">
        <v>10121</v>
      </c>
      <c r="D4347">
        <v>117.3</v>
      </c>
      <c r="E4347">
        <v>121.3</v>
      </c>
      <c r="F4347">
        <v>99.3</v>
      </c>
      <c r="G4347">
        <v>95.4</v>
      </c>
      <c r="H4347">
        <v>132.30000000000001</v>
      </c>
      <c r="I4347">
        <v>136</v>
      </c>
      <c r="J4347">
        <v>100</v>
      </c>
      <c r="K4347">
        <v>100</v>
      </c>
      <c r="L4347" s="1" t="s">
        <v>10120</v>
      </c>
      <c r="M4347" t="s">
        <v>1551</v>
      </c>
      <c r="N4347">
        <v>4</v>
      </c>
    </row>
    <row r="4348" spans="1:14" x14ac:dyDescent="0.25">
      <c r="A4348" s="3" t="str">
        <f>HYPERLINK("http://www.ncbi.nlm.nih.gov/gene/123016","123016")</f>
        <v>123016</v>
      </c>
      <c r="B4348" s="1" t="s">
        <v>10122</v>
      </c>
      <c r="C4348" t="s">
        <v>10123</v>
      </c>
      <c r="D4348">
        <v>131.80000000000001</v>
      </c>
      <c r="E4348">
        <v>135.1</v>
      </c>
      <c r="F4348">
        <v>99.6</v>
      </c>
      <c r="G4348">
        <v>98.1</v>
      </c>
      <c r="H4348">
        <v>124.8</v>
      </c>
      <c r="I4348">
        <v>127.7</v>
      </c>
      <c r="J4348">
        <v>100</v>
      </c>
      <c r="K4348">
        <v>100</v>
      </c>
      <c r="L4348" s="1" t="s">
        <v>10122</v>
      </c>
      <c r="M4348" t="s">
        <v>372</v>
      </c>
      <c r="N4348">
        <v>6</v>
      </c>
    </row>
    <row r="4349" spans="1:14" x14ac:dyDescent="0.25">
      <c r="A4349" s="3" t="str">
        <f>HYPERLINK("http://www.ncbi.nlm.nih.gov/gene/80185","80185")</f>
        <v>80185</v>
      </c>
      <c r="B4349" s="1" t="s">
        <v>10124</v>
      </c>
      <c r="C4349" t="s">
        <v>10125</v>
      </c>
      <c r="D4349">
        <v>114.5</v>
      </c>
      <c r="E4349">
        <v>117.2</v>
      </c>
      <c r="F4349">
        <v>100</v>
      </c>
      <c r="G4349">
        <v>100</v>
      </c>
      <c r="H4349">
        <v>134</v>
      </c>
      <c r="I4349">
        <v>137.9</v>
      </c>
      <c r="J4349">
        <v>100</v>
      </c>
      <c r="K4349">
        <v>100</v>
      </c>
      <c r="L4349" s="1" t="s">
        <v>10124</v>
      </c>
      <c r="M4349" t="s">
        <v>1926</v>
      </c>
      <c r="N4349">
        <v>5</v>
      </c>
    </row>
    <row r="4350" spans="1:14" x14ac:dyDescent="0.25">
      <c r="A4350" s="3" t="str">
        <f>HYPERLINK("http://www.ncbi.nlm.nih.gov/gene/23093","23093")</f>
        <v>23093</v>
      </c>
      <c r="B4350" s="1" t="s">
        <v>10126</v>
      </c>
      <c r="C4350" t="s">
        <v>10127</v>
      </c>
      <c r="D4350">
        <v>162.9</v>
      </c>
      <c r="E4350">
        <v>167</v>
      </c>
      <c r="F4350">
        <v>100</v>
      </c>
      <c r="G4350">
        <v>99.7</v>
      </c>
      <c r="H4350">
        <v>132.30000000000001</v>
      </c>
      <c r="I4350">
        <v>135.9</v>
      </c>
      <c r="J4350">
        <v>100</v>
      </c>
      <c r="K4350">
        <v>100</v>
      </c>
      <c r="L4350" s="1" t="s">
        <v>10126</v>
      </c>
      <c r="M4350" t="s">
        <v>56</v>
      </c>
      <c r="N4350">
        <v>3</v>
      </c>
    </row>
    <row r="4351" spans="1:14" x14ac:dyDescent="0.25">
      <c r="A4351" s="3" t="str">
        <f>HYPERLINK("http://www.ncbi.nlm.nih.gov/gene/7273","7273")</f>
        <v>7273</v>
      </c>
      <c r="B4351" s="1" t="s">
        <v>10128</v>
      </c>
      <c r="C4351" t="s">
        <v>10129</v>
      </c>
      <c r="D4351">
        <v>199.3</v>
      </c>
      <c r="E4351">
        <v>198.1</v>
      </c>
      <c r="F4351">
        <v>98.6</v>
      </c>
      <c r="G4351">
        <v>98.1</v>
      </c>
      <c r="H4351">
        <v>155</v>
      </c>
      <c r="I4351">
        <v>157</v>
      </c>
      <c r="J4351">
        <v>100</v>
      </c>
      <c r="K4351">
        <v>100</v>
      </c>
      <c r="L4351" s="1" t="s">
        <v>10128</v>
      </c>
      <c r="M4351" t="s">
        <v>10130</v>
      </c>
      <c r="N4351">
        <v>4</v>
      </c>
    </row>
    <row r="4352" spans="1:14" x14ac:dyDescent="0.25">
      <c r="A4352" s="3" t="str">
        <f>HYPERLINK("http://www.ncbi.nlm.nih.gov/gene/7274","7274")</f>
        <v>7274</v>
      </c>
      <c r="B4352" s="1" t="s">
        <v>10131</v>
      </c>
      <c r="C4352" t="s">
        <v>10132</v>
      </c>
      <c r="D4352">
        <v>123.3</v>
      </c>
      <c r="E4352">
        <v>129.1</v>
      </c>
      <c r="F4352">
        <v>94.7</v>
      </c>
      <c r="G4352">
        <v>87.1</v>
      </c>
      <c r="H4352">
        <v>128.9</v>
      </c>
      <c r="I4352">
        <v>132.9</v>
      </c>
      <c r="J4352">
        <v>100</v>
      </c>
      <c r="K4352">
        <v>100</v>
      </c>
      <c r="L4352" s="1" t="s">
        <v>10131</v>
      </c>
      <c r="M4352" t="s">
        <v>838</v>
      </c>
      <c r="N4352">
        <v>3</v>
      </c>
    </row>
    <row r="4353" spans="1:14" x14ac:dyDescent="0.25">
      <c r="A4353" s="3" t="str">
        <f>HYPERLINK("http://www.ncbi.nlm.nih.gov/gene/7276","7276")</f>
        <v>7276</v>
      </c>
      <c r="B4353" s="1" t="s">
        <v>10133</v>
      </c>
      <c r="C4353" t="s">
        <v>10134</v>
      </c>
      <c r="D4353">
        <v>149.80000000000001</v>
      </c>
      <c r="E4353">
        <v>151.6</v>
      </c>
      <c r="F4353">
        <v>94.6</v>
      </c>
      <c r="G4353">
        <v>94.6</v>
      </c>
      <c r="H4353">
        <v>134.6</v>
      </c>
      <c r="I4353">
        <v>137.5</v>
      </c>
      <c r="J4353">
        <v>94.6</v>
      </c>
      <c r="K4353">
        <v>94.6</v>
      </c>
      <c r="L4353" s="1" t="s">
        <v>10133</v>
      </c>
      <c r="M4353" t="s">
        <v>10135</v>
      </c>
      <c r="N4353">
        <v>4</v>
      </c>
    </row>
    <row r="4354" spans="1:14" x14ac:dyDescent="0.25">
      <c r="A4354" s="3" t="str">
        <f>HYPERLINK("http://www.ncbi.nlm.nih.gov/gene/7275","7275")</f>
        <v>7275</v>
      </c>
      <c r="B4354" s="1" t="s">
        <v>10136</v>
      </c>
      <c r="C4354" t="s">
        <v>10137</v>
      </c>
      <c r="D4354">
        <v>107.4</v>
      </c>
      <c r="E4354">
        <v>111.7</v>
      </c>
      <c r="F4354">
        <v>99.4</v>
      </c>
      <c r="G4354">
        <v>97.1</v>
      </c>
      <c r="H4354">
        <v>145.69999999999999</v>
      </c>
      <c r="I4354">
        <v>150</v>
      </c>
      <c r="J4354">
        <v>100</v>
      </c>
      <c r="K4354">
        <v>100</v>
      </c>
      <c r="L4354" s="1" t="s">
        <v>10136</v>
      </c>
      <c r="M4354" t="s">
        <v>56</v>
      </c>
      <c r="N4354">
        <v>3</v>
      </c>
    </row>
    <row r="4355" spans="1:14" x14ac:dyDescent="0.25">
      <c r="A4355" s="3" t="str">
        <f>HYPERLINK("http://www.ncbi.nlm.nih.gov/gene/7846","7846")</f>
        <v>7846</v>
      </c>
      <c r="B4355" s="1" t="s">
        <v>10138</v>
      </c>
      <c r="C4355" t="s">
        <v>10139</v>
      </c>
      <c r="D4355">
        <v>73.5</v>
      </c>
      <c r="E4355">
        <v>77</v>
      </c>
      <c r="F4355">
        <v>99.9</v>
      </c>
      <c r="G4355">
        <v>97</v>
      </c>
      <c r="H4355">
        <v>247</v>
      </c>
      <c r="I4355">
        <v>250.8</v>
      </c>
      <c r="J4355">
        <v>100</v>
      </c>
      <c r="K4355">
        <v>100</v>
      </c>
      <c r="L4355" s="1" t="s">
        <v>10138</v>
      </c>
      <c r="M4355" t="s">
        <v>10140</v>
      </c>
      <c r="N4355">
        <v>5</v>
      </c>
    </row>
    <row r="4356" spans="1:14" x14ac:dyDescent="0.25">
      <c r="A4356" s="3" t="str">
        <f>HYPERLINK("http://www.ncbi.nlm.nih.gov/gene/113457","113457")</f>
        <v>113457</v>
      </c>
      <c r="B4356" s="1" t="s">
        <v>10141</v>
      </c>
      <c r="C4356" t="s">
        <v>10142</v>
      </c>
      <c r="D4356">
        <v>122.2</v>
      </c>
      <c r="E4356">
        <v>114.9</v>
      </c>
      <c r="F4356">
        <v>100</v>
      </c>
      <c r="G4356">
        <v>99.2</v>
      </c>
      <c r="H4356">
        <v>248.3</v>
      </c>
      <c r="I4356">
        <v>251.9</v>
      </c>
      <c r="J4356">
        <v>100</v>
      </c>
      <c r="K4356">
        <v>100</v>
      </c>
      <c r="L4356" s="1" t="s">
        <v>10141</v>
      </c>
      <c r="M4356" t="s">
        <v>302</v>
      </c>
      <c r="N4356">
        <v>2</v>
      </c>
    </row>
    <row r="4357" spans="1:14" x14ac:dyDescent="0.25">
      <c r="A4357" s="3" t="str">
        <f>HYPERLINK("http://www.ncbi.nlm.nih.gov/gene/7277","7277")</f>
        <v>7277</v>
      </c>
      <c r="B4357" s="1" t="s">
        <v>10143</v>
      </c>
      <c r="C4357" t="s">
        <v>10144</v>
      </c>
      <c r="D4357">
        <v>178.4</v>
      </c>
      <c r="E4357">
        <v>170.9</v>
      </c>
      <c r="F4357">
        <v>100</v>
      </c>
      <c r="G4357">
        <v>100</v>
      </c>
      <c r="H4357">
        <v>233.2</v>
      </c>
      <c r="I4357">
        <v>236.5</v>
      </c>
      <c r="J4357">
        <v>100</v>
      </c>
      <c r="K4357">
        <v>100</v>
      </c>
      <c r="L4357" s="1" t="s">
        <v>10143</v>
      </c>
      <c r="M4357" t="s">
        <v>617</v>
      </c>
      <c r="N4357">
        <v>2</v>
      </c>
    </row>
    <row r="4358" spans="1:14" x14ac:dyDescent="0.25">
      <c r="A4358" s="3" t="str">
        <f>HYPERLINK("http://www.ncbi.nlm.nih.gov/gene/51807","51807")</f>
        <v>51807</v>
      </c>
      <c r="B4358" s="1" t="s">
        <v>10145</v>
      </c>
      <c r="C4358" t="s">
        <v>10146</v>
      </c>
      <c r="D4358">
        <v>158.80000000000001</v>
      </c>
      <c r="E4358">
        <v>154.80000000000001</v>
      </c>
      <c r="F4358">
        <v>99.9</v>
      </c>
      <c r="G4358">
        <v>99.5</v>
      </c>
      <c r="H4358">
        <v>181.1</v>
      </c>
      <c r="I4358">
        <v>187.3</v>
      </c>
      <c r="J4358">
        <v>100</v>
      </c>
      <c r="K4358">
        <v>100</v>
      </c>
      <c r="L4358" s="1" t="s">
        <v>10145</v>
      </c>
      <c r="M4358" t="s">
        <v>228</v>
      </c>
      <c r="N4358">
        <v>3</v>
      </c>
    </row>
    <row r="4359" spans="1:14" x14ac:dyDescent="0.25">
      <c r="A4359" s="3" t="str">
        <f>HYPERLINK("http://www.ncbi.nlm.nih.gov/gene/203068","203068")</f>
        <v>203068</v>
      </c>
      <c r="B4359" s="1" t="s">
        <v>10147</v>
      </c>
      <c r="C4359" t="s">
        <v>10148</v>
      </c>
      <c r="D4359">
        <v>154.1</v>
      </c>
      <c r="E4359">
        <v>125.1</v>
      </c>
      <c r="F4359">
        <v>97.3</v>
      </c>
      <c r="G4359">
        <v>93.9</v>
      </c>
      <c r="H4359">
        <v>260.10000000000002</v>
      </c>
      <c r="I4359">
        <v>261.89999999999998</v>
      </c>
      <c r="J4359">
        <v>99.8</v>
      </c>
      <c r="K4359">
        <v>99.8</v>
      </c>
      <c r="L4359" s="1" t="s">
        <v>10147</v>
      </c>
      <c r="M4359" t="s">
        <v>10149</v>
      </c>
      <c r="N4359">
        <v>4</v>
      </c>
    </row>
    <row r="4360" spans="1:14" x14ac:dyDescent="0.25">
      <c r="A4360" s="3" t="str">
        <f>HYPERLINK("http://www.ncbi.nlm.nih.gov/gene/81027","81027")</f>
        <v>81027</v>
      </c>
      <c r="B4360" s="1" t="s">
        <v>10150</v>
      </c>
      <c r="D4360">
        <v>161.5</v>
      </c>
      <c r="E4360">
        <v>163.4</v>
      </c>
      <c r="F4360">
        <v>100</v>
      </c>
      <c r="G4360">
        <v>100</v>
      </c>
      <c r="H4360">
        <v>173</v>
      </c>
      <c r="I4360">
        <v>172</v>
      </c>
      <c r="J4360">
        <v>100</v>
      </c>
      <c r="K4360">
        <v>100</v>
      </c>
      <c r="L4360" s="1" t="s">
        <v>10150</v>
      </c>
      <c r="M4360" t="s">
        <v>16</v>
      </c>
      <c r="N4360">
        <v>2</v>
      </c>
    </row>
    <row r="4361" spans="1:14" x14ac:dyDescent="0.25">
      <c r="A4361" s="3" t="str">
        <f>HYPERLINK("http://www.ncbi.nlm.nih.gov/gene/7280","7280")</f>
        <v>7280</v>
      </c>
      <c r="B4361" s="1" t="s">
        <v>10151</v>
      </c>
      <c r="C4361" t="s">
        <v>10152</v>
      </c>
      <c r="D4361">
        <v>71.900000000000006</v>
      </c>
      <c r="E4361">
        <v>65.8</v>
      </c>
      <c r="F4361">
        <v>97</v>
      </c>
      <c r="G4361">
        <v>95.7</v>
      </c>
      <c r="H4361">
        <v>274.5</v>
      </c>
      <c r="I4361">
        <v>282.3</v>
      </c>
      <c r="J4361">
        <v>100</v>
      </c>
      <c r="K4361">
        <v>100</v>
      </c>
      <c r="L4361" s="1" t="s">
        <v>10151</v>
      </c>
      <c r="M4361" t="s">
        <v>9165</v>
      </c>
      <c r="N4361">
        <v>4</v>
      </c>
    </row>
    <row r="4362" spans="1:14" x14ac:dyDescent="0.25">
      <c r="A4362" s="3" t="str">
        <f>HYPERLINK("http://www.ncbi.nlm.nih.gov/gene/347733","347733")</f>
        <v>347733</v>
      </c>
      <c r="B4362" s="1" t="s">
        <v>10153</v>
      </c>
      <c r="C4362" t="s">
        <v>10154</v>
      </c>
      <c r="D4362">
        <v>74.2</v>
      </c>
      <c r="E4362">
        <v>65.7</v>
      </c>
      <c r="F4362">
        <v>100</v>
      </c>
      <c r="G4362">
        <v>99.5</v>
      </c>
      <c r="H4362">
        <v>283.39999999999998</v>
      </c>
      <c r="I4362">
        <v>286.3</v>
      </c>
      <c r="J4362">
        <v>100</v>
      </c>
      <c r="K4362">
        <v>100</v>
      </c>
      <c r="L4362" s="1" t="s">
        <v>10153</v>
      </c>
      <c r="M4362" t="s">
        <v>10155</v>
      </c>
      <c r="N4362">
        <v>4</v>
      </c>
    </row>
    <row r="4363" spans="1:14" x14ac:dyDescent="0.25">
      <c r="A4363" s="3" t="str">
        <f>HYPERLINK("http://www.ncbi.nlm.nih.gov/gene/10381","10381")</f>
        <v>10381</v>
      </c>
      <c r="B4363" s="1" t="s">
        <v>10156</v>
      </c>
      <c r="C4363" t="s">
        <v>10157</v>
      </c>
      <c r="D4363">
        <v>113.9</v>
      </c>
      <c r="E4363">
        <v>113.8</v>
      </c>
      <c r="F4363">
        <v>98.3</v>
      </c>
      <c r="G4363">
        <v>96.9</v>
      </c>
      <c r="H4363">
        <v>234.5</v>
      </c>
      <c r="I4363">
        <v>239.8</v>
      </c>
      <c r="J4363">
        <v>100</v>
      </c>
      <c r="K4363">
        <v>100</v>
      </c>
      <c r="L4363" s="1" t="s">
        <v>10156</v>
      </c>
      <c r="M4363" t="s">
        <v>10158</v>
      </c>
      <c r="N4363">
        <v>5</v>
      </c>
    </row>
    <row r="4364" spans="1:14" x14ac:dyDescent="0.25">
      <c r="A4364" s="3" t="str">
        <f>HYPERLINK("http://www.ncbi.nlm.nih.gov/gene/10382","10382")</f>
        <v>10382</v>
      </c>
      <c r="B4364" s="1" t="s">
        <v>10159</v>
      </c>
      <c r="C4364" t="s">
        <v>10160</v>
      </c>
      <c r="D4364">
        <v>104.2</v>
      </c>
      <c r="E4364">
        <v>76.900000000000006</v>
      </c>
      <c r="F4364">
        <v>95.9</v>
      </c>
      <c r="G4364">
        <v>94</v>
      </c>
      <c r="H4364">
        <v>237.4</v>
      </c>
      <c r="I4364">
        <v>238.6</v>
      </c>
      <c r="J4364">
        <v>97.1</v>
      </c>
      <c r="K4364">
        <v>96</v>
      </c>
      <c r="L4364" s="1" t="s">
        <v>10159</v>
      </c>
      <c r="M4364" t="s">
        <v>877</v>
      </c>
      <c r="N4364">
        <v>4</v>
      </c>
    </row>
    <row r="4365" spans="1:14" x14ac:dyDescent="0.25">
      <c r="A4365" s="3" t="str">
        <f>HYPERLINK("http://www.ncbi.nlm.nih.gov/gene/10383","10383")</f>
        <v>10383</v>
      </c>
      <c r="B4365" s="1" t="s">
        <v>10161</v>
      </c>
      <c r="C4365" t="s">
        <v>10162</v>
      </c>
      <c r="D4365">
        <v>91.2</v>
      </c>
      <c r="E4365">
        <v>81.099999999999994</v>
      </c>
      <c r="F4365">
        <v>99.9</v>
      </c>
      <c r="G4365">
        <v>96.9</v>
      </c>
      <c r="H4365">
        <v>216.6</v>
      </c>
      <c r="I4365">
        <v>212.3</v>
      </c>
      <c r="J4365">
        <v>100</v>
      </c>
      <c r="K4365">
        <v>100</v>
      </c>
      <c r="L4365" s="1" t="s">
        <v>10161</v>
      </c>
      <c r="M4365" t="s">
        <v>10163</v>
      </c>
      <c r="N4365">
        <v>3</v>
      </c>
    </row>
    <row r="4366" spans="1:14" x14ac:dyDescent="0.25">
      <c r="A4366" s="3" t="str">
        <f>HYPERLINK("http://www.ncbi.nlm.nih.gov/gene/84617","84617")</f>
        <v>84617</v>
      </c>
      <c r="B4366" s="1" t="s">
        <v>10164</v>
      </c>
      <c r="C4366" t="s">
        <v>10165</v>
      </c>
      <c r="D4366">
        <v>85.9</v>
      </c>
      <c r="E4366">
        <v>76.8</v>
      </c>
      <c r="F4366">
        <v>90.6</v>
      </c>
      <c r="G4366">
        <v>90.1</v>
      </c>
      <c r="H4366">
        <v>215.2</v>
      </c>
      <c r="I4366">
        <v>216.8</v>
      </c>
      <c r="J4366">
        <v>100</v>
      </c>
      <c r="K4366">
        <v>100</v>
      </c>
      <c r="L4366" s="1" t="s">
        <v>10164</v>
      </c>
      <c r="M4366" t="s">
        <v>285</v>
      </c>
      <c r="N4366">
        <v>1</v>
      </c>
    </row>
    <row r="4367" spans="1:14" x14ac:dyDescent="0.25">
      <c r="A4367" s="3" t="str">
        <f>HYPERLINK("http://www.ncbi.nlm.nih.gov/gene/347688","347688")</f>
        <v>347688</v>
      </c>
      <c r="B4367" s="1" t="s">
        <v>10166</v>
      </c>
      <c r="C4367" t="s">
        <v>10167</v>
      </c>
      <c r="D4367">
        <v>24</v>
      </c>
      <c r="E4367">
        <v>23.5</v>
      </c>
      <c r="F4367">
        <v>83</v>
      </c>
      <c r="G4367">
        <v>55.3</v>
      </c>
      <c r="H4367">
        <v>202.9</v>
      </c>
      <c r="I4367">
        <v>197.2</v>
      </c>
      <c r="J4367">
        <v>100</v>
      </c>
      <c r="K4367">
        <v>100</v>
      </c>
      <c r="L4367" s="1" t="s">
        <v>10166</v>
      </c>
      <c r="M4367" t="s">
        <v>4557</v>
      </c>
      <c r="N4367">
        <v>1</v>
      </c>
    </row>
    <row r="4368" spans="1:14" x14ac:dyDescent="0.25">
      <c r="A4368" s="3" t="str">
        <f>HYPERLINK("http://www.ncbi.nlm.nih.gov/gene/7283","7283")</f>
        <v>7283</v>
      </c>
      <c r="B4368" s="1" t="s">
        <v>10168</v>
      </c>
      <c r="C4368" t="s">
        <v>10169</v>
      </c>
      <c r="D4368">
        <v>175.3</v>
      </c>
      <c r="E4368">
        <v>178.8</v>
      </c>
      <c r="F4368">
        <v>100</v>
      </c>
      <c r="G4368">
        <v>100</v>
      </c>
      <c r="H4368">
        <v>186.1</v>
      </c>
      <c r="I4368">
        <v>191.2</v>
      </c>
      <c r="J4368">
        <v>100</v>
      </c>
      <c r="K4368">
        <v>100</v>
      </c>
      <c r="L4368" s="1" t="s">
        <v>10168</v>
      </c>
      <c r="M4368" t="s">
        <v>877</v>
      </c>
      <c r="N4368">
        <v>4</v>
      </c>
    </row>
    <row r="4369" spans="1:14" x14ac:dyDescent="0.25">
      <c r="A4369" s="3" t="str">
        <f>HYPERLINK("http://www.ncbi.nlm.nih.gov/gene/10844","10844")</f>
        <v>10844</v>
      </c>
      <c r="B4369" s="1" t="s">
        <v>10170</v>
      </c>
      <c r="C4369" t="s">
        <v>10171</v>
      </c>
      <c r="D4369">
        <v>98.8</v>
      </c>
      <c r="E4369">
        <v>102</v>
      </c>
      <c r="F4369">
        <v>99.7</v>
      </c>
      <c r="G4369">
        <v>96.2</v>
      </c>
      <c r="H4369">
        <v>133</v>
      </c>
      <c r="I4369">
        <v>137.19999999999999</v>
      </c>
      <c r="J4369">
        <v>97</v>
      </c>
      <c r="K4369">
        <v>97</v>
      </c>
      <c r="L4369" s="1" t="s">
        <v>10170</v>
      </c>
      <c r="M4369" t="s">
        <v>228</v>
      </c>
      <c r="N4369">
        <v>3</v>
      </c>
    </row>
    <row r="4370" spans="1:14" x14ac:dyDescent="0.25">
      <c r="A4370" s="3" t="str">
        <f>HYPERLINK("http://www.ncbi.nlm.nih.gov/gene/27229","27229")</f>
        <v>27229</v>
      </c>
      <c r="B4370" s="1" t="s">
        <v>10172</v>
      </c>
      <c r="C4370" t="s">
        <v>10173</v>
      </c>
      <c r="D4370">
        <v>120</v>
      </c>
      <c r="E4370">
        <v>123.4</v>
      </c>
      <c r="F4370">
        <v>99.2</v>
      </c>
      <c r="G4370">
        <v>96.4</v>
      </c>
      <c r="H4370">
        <v>130.1</v>
      </c>
      <c r="I4370">
        <v>133.69999999999999</v>
      </c>
      <c r="J4370">
        <v>100</v>
      </c>
      <c r="K4370">
        <v>100</v>
      </c>
      <c r="L4370" s="1" t="s">
        <v>10172</v>
      </c>
      <c r="M4370" t="s">
        <v>1642</v>
      </c>
      <c r="N4370">
        <v>4</v>
      </c>
    </row>
    <row r="4371" spans="1:14" x14ac:dyDescent="0.25">
      <c r="A4371" s="3" t="str">
        <f>HYPERLINK("http://www.ncbi.nlm.nih.gov/gene/85378","85378")</f>
        <v>85378</v>
      </c>
      <c r="B4371" s="1" t="s">
        <v>10174</v>
      </c>
      <c r="C4371" t="s">
        <v>10175</v>
      </c>
      <c r="D4371">
        <v>169.8</v>
      </c>
      <c r="E4371">
        <v>157.80000000000001</v>
      </c>
      <c r="F4371">
        <v>100</v>
      </c>
      <c r="G4371">
        <v>99.3</v>
      </c>
      <c r="H4371">
        <v>156.5</v>
      </c>
      <c r="I4371">
        <v>151.69999999999999</v>
      </c>
      <c r="J4371">
        <v>100</v>
      </c>
      <c r="K4371">
        <v>100</v>
      </c>
      <c r="L4371" s="1" t="s">
        <v>10174</v>
      </c>
      <c r="M4371" t="s">
        <v>1642</v>
      </c>
      <c r="N4371">
        <v>4</v>
      </c>
    </row>
    <row r="4372" spans="1:14" x14ac:dyDescent="0.25">
      <c r="A4372" s="3" t="str">
        <f>HYPERLINK("http://www.ncbi.nlm.nih.gov/gene/7284","7284")</f>
        <v>7284</v>
      </c>
      <c r="B4372" s="1" t="s">
        <v>10176</v>
      </c>
      <c r="C4372" t="s">
        <v>10177</v>
      </c>
      <c r="D4372">
        <v>152.9</v>
      </c>
      <c r="E4372">
        <v>158</v>
      </c>
      <c r="F4372">
        <v>100</v>
      </c>
      <c r="G4372">
        <v>99</v>
      </c>
      <c r="H4372">
        <v>139.69999999999999</v>
      </c>
      <c r="I4372">
        <v>143</v>
      </c>
      <c r="J4372">
        <v>100</v>
      </c>
      <c r="K4372">
        <v>100</v>
      </c>
      <c r="L4372" s="1" t="s">
        <v>10176</v>
      </c>
      <c r="M4372" t="s">
        <v>766</v>
      </c>
      <c r="N4372">
        <v>3</v>
      </c>
    </row>
    <row r="4373" spans="1:14" x14ac:dyDescent="0.25">
      <c r="A4373" s="3" t="str">
        <f>HYPERLINK("http://www.ncbi.nlm.nih.gov/gene/7287","7287")</f>
        <v>7287</v>
      </c>
      <c r="B4373" s="1" t="s">
        <v>10178</v>
      </c>
      <c r="C4373" t="s">
        <v>10179</v>
      </c>
      <c r="D4373">
        <v>128.5</v>
      </c>
      <c r="E4373">
        <v>134.30000000000001</v>
      </c>
      <c r="F4373">
        <v>100</v>
      </c>
      <c r="G4373">
        <v>99.5</v>
      </c>
      <c r="H4373">
        <v>147.5</v>
      </c>
      <c r="I4373">
        <v>151.19999999999999</v>
      </c>
      <c r="J4373">
        <v>100</v>
      </c>
      <c r="K4373">
        <v>100</v>
      </c>
      <c r="L4373" s="1" t="s">
        <v>10178</v>
      </c>
      <c r="M4373" t="s">
        <v>1316</v>
      </c>
      <c r="N4373">
        <v>4</v>
      </c>
    </row>
    <row r="4374" spans="1:14" x14ac:dyDescent="0.25">
      <c r="A4374" s="3" t="str">
        <f>HYPERLINK("http://www.ncbi.nlm.nih.gov/gene/7991","7991")</f>
        <v>7991</v>
      </c>
      <c r="B4374" s="1" t="s">
        <v>10180</v>
      </c>
      <c r="C4374" t="s">
        <v>10181</v>
      </c>
      <c r="D4374">
        <v>186.9</v>
      </c>
      <c r="E4374">
        <v>190.4</v>
      </c>
      <c r="F4374">
        <v>100</v>
      </c>
      <c r="G4374">
        <v>99.5</v>
      </c>
      <c r="H4374">
        <v>138.6</v>
      </c>
      <c r="I4374">
        <v>142.1</v>
      </c>
      <c r="J4374">
        <v>100</v>
      </c>
      <c r="K4374">
        <v>100</v>
      </c>
      <c r="L4374" s="1" t="s">
        <v>10180</v>
      </c>
      <c r="M4374" t="s">
        <v>38</v>
      </c>
      <c r="N4374">
        <v>4</v>
      </c>
    </row>
    <row r="4375" spans="1:14" x14ac:dyDescent="0.25">
      <c r="A4375" s="3" t="str">
        <f>HYPERLINK("http://www.ncbi.nlm.nih.gov/gene/7291","7291")</f>
        <v>7291</v>
      </c>
      <c r="B4375" s="1" t="s">
        <v>10182</v>
      </c>
      <c r="C4375" t="s">
        <v>10183</v>
      </c>
      <c r="D4375">
        <v>126</v>
      </c>
      <c r="E4375">
        <v>96.4</v>
      </c>
      <c r="F4375">
        <v>100</v>
      </c>
      <c r="G4375">
        <v>98.9</v>
      </c>
      <c r="H4375">
        <v>111.2</v>
      </c>
      <c r="I4375">
        <v>114.6</v>
      </c>
      <c r="J4375">
        <v>97.2</v>
      </c>
      <c r="K4375">
        <v>92.3</v>
      </c>
      <c r="L4375" s="1" t="s">
        <v>10182</v>
      </c>
      <c r="M4375" t="s">
        <v>3056</v>
      </c>
      <c r="N4375">
        <v>5</v>
      </c>
    </row>
    <row r="4376" spans="1:14" x14ac:dyDescent="0.25">
      <c r="A4376" s="3" t="str">
        <f>HYPERLINK("http://www.ncbi.nlm.nih.gov/gene/117581","117581")</f>
        <v>117581</v>
      </c>
      <c r="B4376" s="1" t="s">
        <v>10184</v>
      </c>
      <c r="C4376" t="s">
        <v>10185</v>
      </c>
      <c r="D4376">
        <v>108</v>
      </c>
      <c r="E4376">
        <v>92.7</v>
      </c>
      <c r="F4376">
        <v>100</v>
      </c>
      <c r="G4376">
        <v>100</v>
      </c>
      <c r="H4376">
        <v>150.69999999999999</v>
      </c>
      <c r="I4376">
        <v>157.69999999999999</v>
      </c>
      <c r="J4376">
        <v>100</v>
      </c>
      <c r="K4376">
        <v>100</v>
      </c>
      <c r="L4376" s="1" t="s">
        <v>10184</v>
      </c>
      <c r="M4376" t="s">
        <v>2098</v>
      </c>
      <c r="N4376">
        <v>3</v>
      </c>
    </row>
    <row r="4377" spans="1:14" x14ac:dyDescent="0.25">
      <c r="A4377" s="3" t="str">
        <f>HYPERLINK("http://www.ncbi.nlm.nih.gov/gene/56652","56652")</f>
        <v>56652</v>
      </c>
      <c r="B4377" s="1" t="s">
        <v>10186</v>
      </c>
      <c r="C4377" t="s">
        <v>10187</v>
      </c>
      <c r="D4377">
        <v>201.5</v>
      </c>
      <c r="E4377">
        <v>202.8</v>
      </c>
      <c r="F4377">
        <v>100</v>
      </c>
      <c r="G4377">
        <v>100</v>
      </c>
      <c r="H4377">
        <v>149.19999999999999</v>
      </c>
      <c r="I4377">
        <v>150.9</v>
      </c>
      <c r="J4377">
        <v>100</v>
      </c>
      <c r="K4377">
        <v>100</v>
      </c>
      <c r="L4377" s="1" t="s">
        <v>10186</v>
      </c>
      <c r="M4377" t="s">
        <v>10188</v>
      </c>
      <c r="N4377">
        <v>10</v>
      </c>
    </row>
    <row r="4378" spans="1:14" x14ac:dyDescent="0.25">
      <c r="A4378" s="3" t="str">
        <f>HYPERLINK("http://www.ncbi.nlm.nih.gov/gene/25828","25828")</f>
        <v>25828</v>
      </c>
      <c r="B4378" s="1" t="s">
        <v>10189</v>
      </c>
      <c r="C4378" t="s">
        <v>10190</v>
      </c>
      <c r="D4378">
        <v>72.599999999999994</v>
      </c>
      <c r="E4378">
        <v>74.599999999999994</v>
      </c>
      <c r="F4378">
        <v>100</v>
      </c>
      <c r="G4378">
        <v>100</v>
      </c>
      <c r="H4378">
        <v>149.9</v>
      </c>
      <c r="I4378">
        <v>155.4</v>
      </c>
      <c r="J4378">
        <v>100</v>
      </c>
      <c r="K4378">
        <v>100</v>
      </c>
      <c r="L4378" s="1" t="s">
        <v>10189</v>
      </c>
      <c r="M4378" t="s">
        <v>766</v>
      </c>
      <c r="N4378">
        <v>3</v>
      </c>
    </row>
    <row r="4379" spans="1:14" x14ac:dyDescent="0.25">
      <c r="A4379" s="3" t="str">
        <f>HYPERLINK("http://www.ncbi.nlm.nih.gov/gene/10907","10907")</f>
        <v>10907</v>
      </c>
      <c r="B4379" s="1" t="s">
        <v>10191</v>
      </c>
      <c r="C4379" t="s">
        <v>10192</v>
      </c>
      <c r="D4379">
        <v>98.9</v>
      </c>
      <c r="E4379">
        <v>104.3</v>
      </c>
      <c r="F4379">
        <v>100</v>
      </c>
      <c r="G4379">
        <v>99.4</v>
      </c>
      <c r="H4379">
        <v>164.8</v>
      </c>
      <c r="I4379">
        <v>168.8</v>
      </c>
      <c r="J4379">
        <v>100</v>
      </c>
      <c r="K4379">
        <v>100</v>
      </c>
      <c r="L4379" s="1" t="s">
        <v>10191</v>
      </c>
      <c r="M4379" t="s">
        <v>2164</v>
      </c>
      <c r="N4379">
        <v>3</v>
      </c>
    </row>
    <row r="4380" spans="1:14" x14ac:dyDescent="0.25">
      <c r="A4380" s="3" t="str">
        <f>HYPERLINK("http://www.ncbi.nlm.nih.gov/gene/10587","10587")</f>
        <v>10587</v>
      </c>
      <c r="B4380" s="1" t="s">
        <v>10193</v>
      </c>
      <c r="C4380" t="s">
        <v>10194</v>
      </c>
      <c r="D4380">
        <v>118.5</v>
      </c>
      <c r="E4380">
        <v>121.2</v>
      </c>
      <c r="F4380">
        <v>96.8</v>
      </c>
      <c r="G4380">
        <v>95.9</v>
      </c>
      <c r="H4380">
        <v>132.9</v>
      </c>
      <c r="I4380">
        <v>135.5</v>
      </c>
      <c r="J4380">
        <v>100</v>
      </c>
      <c r="K4380">
        <v>100</v>
      </c>
      <c r="L4380" s="1" t="s">
        <v>10193</v>
      </c>
      <c r="M4380" t="s">
        <v>10195</v>
      </c>
      <c r="N4380">
        <v>3</v>
      </c>
    </row>
    <row r="4381" spans="1:14" x14ac:dyDescent="0.25">
      <c r="A4381" s="3" t="str">
        <f>HYPERLINK("http://www.ncbi.nlm.nih.gov/gene/7297","7297")</f>
        <v>7297</v>
      </c>
      <c r="B4381" s="1" t="s">
        <v>10196</v>
      </c>
      <c r="C4381" t="s">
        <v>10197</v>
      </c>
      <c r="D4381">
        <v>129.1</v>
      </c>
      <c r="E4381">
        <v>133.30000000000001</v>
      </c>
      <c r="F4381">
        <v>99.9</v>
      </c>
      <c r="G4381">
        <v>99</v>
      </c>
      <c r="H4381">
        <v>149</v>
      </c>
      <c r="I4381">
        <v>152.9</v>
      </c>
      <c r="J4381">
        <v>100</v>
      </c>
      <c r="K4381">
        <v>100</v>
      </c>
      <c r="L4381" s="1" t="s">
        <v>10196</v>
      </c>
      <c r="M4381" t="s">
        <v>10198</v>
      </c>
      <c r="N4381">
        <v>4</v>
      </c>
    </row>
    <row r="4382" spans="1:14" x14ac:dyDescent="0.25">
      <c r="A4382" s="3" t="str">
        <f>HYPERLINK("http://www.ncbi.nlm.nih.gov/gene/1890","1890")</f>
        <v>1890</v>
      </c>
      <c r="B4382" s="1" t="s">
        <v>10199</v>
      </c>
      <c r="C4382" t="s">
        <v>10200</v>
      </c>
      <c r="D4382">
        <v>98.1</v>
      </c>
      <c r="E4382">
        <v>97.1</v>
      </c>
      <c r="F4382">
        <v>100</v>
      </c>
      <c r="G4382">
        <v>97</v>
      </c>
      <c r="H4382">
        <v>140.5</v>
      </c>
      <c r="I4382">
        <v>143.9</v>
      </c>
      <c r="J4382">
        <v>100</v>
      </c>
      <c r="K4382">
        <v>100</v>
      </c>
      <c r="L4382" s="1" t="s">
        <v>10199</v>
      </c>
      <c r="M4382" t="s">
        <v>3272</v>
      </c>
      <c r="N4382">
        <v>5</v>
      </c>
    </row>
    <row r="4383" spans="1:14" x14ac:dyDescent="0.25">
      <c r="A4383" s="3" t="str">
        <f>HYPERLINK("http://www.ncbi.nlm.nih.gov/gene/7298","7298")</f>
        <v>7298</v>
      </c>
      <c r="B4383" s="1" t="s">
        <v>10201</v>
      </c>
      <c r="C4383" t="s">
        <v>10202</v>
      </c>
      <c r="D4383">
        <v>142.80000000000001</v>
      </c>
      <c r="E4383">
        <v>147.80000000000001</v>
      </c>
      <c r="F4383">
        <v>99.9</v>
      </c>
      <c r="G4383">
        <v>99.6</v>
      </c>
      <c r="H4383">
        <v>138</v>
      </c>
      <c r="I4383">
        <v>143.5</v>
      </c>
      <c r="J4383">
        <v>100</v>
      </c>
      <c r="K4383">
        <v>100</v>
      </c>
      <c r="L4383" s="1" t="s">
        <v>10201</v>
      </c>
      <c r="M4383" t="s">
        <v>93</v>
      </c>
      <c r="N4383">
        <v>2</v>
      </c>
    </row>
    <row r="4384" spans="1:14" x14ac:dyDescent="0.25">
      <c r="A4384" s="3" t="str">
        <f>HYPERLINK("http://www.ncbi.nlm.nih.gov/gene/7299","7299")</f>
        <v>7299</v>
      </c>
      <c r="B4384" s="1" t="s">
        <v>10203</v>
      </c>
      <c r="C4384" t="s">
        <v>10204</v>
      </c>
      <c r="D4384">
        <v>169.6</v>
      </c>
      <c r="E4384">
        <v>164.5</v>
      </c>
      <c r="F4384">
        <v>100</v>
      </c>
      <c r="G4384">
        <v>100</v>
      </c>
      <c r="H4384">
        <v>151.4</v>
      </c>
      <c r="I4384">
        <v>151.1</v>
      </c>
      <c r="J4384">
        <v>100</v>
      </c>
      <c r="K4384">
        <v>100</v>
      </c>
      <c r="L4384" s="1" t="s">
        <v>10203</v>
      </c>
      <c r="M4384" t="s">
        <v>10205</v>
      </c>
      <c r="N4384">
        <v>6</v>
      </c>
    </row>
    <row r="4385" spans="1:14" x14ac:dyDescent="0.25">
      <c r="A4385" s="3" t="str">
        <f>HYPERLINK("http://www.ncbi.nlm.nih.gov/gene/7305","7305")</f>
        <v>7305</v>
      </c>
      <c r="B4385" s="1" t="s">
        <v>10206</v>
      </c>
      <c r="C4385" t="s">
        <v>10207</v>
      </c>
      <c r="D4385">
        <v>98.2</v>
      </c>
      <c r="E4385">
        <v>98.7</v>
      </c>
      <c r="F4385">
        <v>100</v>
      </c>
      <c r="G4385">
        <v>100</v>
      </c>
      <c r="H4385">
        <v>152.80000000000001</v>
      </c>
      <c r="I4385">
        <v>156.1</v>
      </c>
      <c r="J4385">
        <v>100</v>
      </c>
      <c r="K4385">
        <v>100</v>
      </c>
      <c r="L4385" s="1" t="s">
        <v>10206</v>
      </c>
      <c r="M4385" t="s">
        <v>10208</v>
      </c>
      <c r="N4385">
        <v>4</v>
      </c>
    </row>
    <row r="4386" spans="1:14" x14ac:dyDescent="0.25">
      <c r="A4386" s="3" t="str">
        <f>HYPERLINK("http://www.ncbi.nlm.nih.gov/gene/7306","7306")</f>
        <v>7306</v>
      </c>
      <c r="B4386" s="1" t="s">
        <v>10209</v>
      </c>
      <c r="C4386" t="s">
        <v>10210</v>
      </c>
      <c r="D4386">
        <v>181.3</v>
      </c>
      <c r="E4386">
        <v>183.7</v>
      </c>
      <c r="F4386">
        <v>100</v>
      </c>
      <c r="G4386">
        <v>99.8</v>
      </c>
      <c r="H4386">
        <v>155.80000000000001</v>
      </c>
      <c r="I4386">
        <v>161.19999999999999</v>
      </c>
      <c r="J4386">
        <v>100</v>
      </c>
      <c r="K4386">
        <v>100</v>
      </c>
      <c r="L4386" s="1" t="s">
        <v>10209</v>
      </c>
      <c r="M4386" t="s">
        <v>10211</v>
      </c>
      <c r="N4386">
        <v>5</v>
      </c>
    </row>
    <row r="4387" spans="1:14" x14ac:dyDescent="0.25">
      <c r="A4387" s="3" t="str">
        <f>HYPERLINK("http://www.ncbi.nlm.nih.gov/gene/11338","11338")</f>
        <v>11338</v>
      </c>
      <c r="B4387" s="1" t="s">
        <v>10212</v>
      </c>
      <c r="C4387" t="s">
        <v>10213</v>
      </c>
      <c r="D4387">
        <v>120.3</v>
      </c>
      <c r="E4387">
        <v>125.2</v>
      </c>
      <c r="F4387">
        <v>99.9</v>
      </c>
      <c r="G4387">
        <v>98.3</v>
      </c>
      <c r="H4387">
        <v>155.30000000000001</v>
      </c>
      <c r="I4387">
        <v>160</v>
      </c>
      <c r="J4387">
        <v>100</v>
      </c>
      <c r="K4387">
        <v>100</v>
      </c>
      <c r="L4387" s="1" t="s">
        <v>10212</v>
      </c>
      <c r="M4387" t="s">
        <v>189</v>
      </c>
      <c r="N4387">
        <v>2</v>
      </c>
    </row>
    <row r="4388" spans="1:14" x14ac:dyDescent="0.25">
      <c r="A4388" s="3" t="str">
        <f>HYPERLINK("http://www.ncbi.nlm.nih.gov/gene/7317","7317")</f>
        <v>7317</v>
      </c>
      <c r="B4388" s="1" t="s">
        <v>10214</v>
      </c>
      <c r="C4388" t="s">
        <v>10215</v>
      </c>
      <c r="D4388">
        <v>141.4</v>
      </c>
      <c r="E4388">
        <v>142.9</v>
      </c>
      <c r="F4388">
        <v>99.4</v>
      </c>
      <c r="G4388">
        <v>98.2</v>
      </c>
      <c r="H4388">
        <v>131.5</v>
      </c>
      <c r="I4388">
        <v>134.9</v>
      </c>
      <c r="J4388">
        <v>99.8</v>
      </c>
      <c r="K4388">
        <v>99</v>
      </c>
      <c r="L4388" s="1" t="s">
        <v>10214</v>
      </c>
      <c r="M4388" t="s">
        <v>10216</v>
      </c>
      <c r="N4388">
        <v>5</v>
      </c>
    </row>
    <row r="4389" spans="1:14" x14ac:dyDescent="0.25">
      <c r="A4389" s="3" t="str">
        <f>HYPERLINK("http://www.ncbi.nlm.nih.gov/gene/79876","79876")</f>
        <v>79876</v>
      </c>
      <c r="B4389" s="1" t="s">
        <v>10217</v>
      </c>
      <c r="C4389" t="s">
        <v>10218</v>
      </c>
      <c r="D4389">
        <v>92.4</v>
      </c>
      <c r="E4389">
        <v>93.7</v>
      </c>
      <c r="F4389">
        <v>97.8</v>
      </c>
      <c r="G4389">
        <v>86.8</v>
      </c>
      <c r="H4389">
        <v>119.2</v>
      </c>
      <c r="I4389">
        <v>122</v>
      </c>
      <c r="J4389">
        <v>100</v>
      </c>
      <c r="K4389">
        <v>100</v>
      </c>
      <c r="L4389" s="1" t="s">
        <v>10217</v>
      </c>
      <c r="M4389" t="s">
        <v>10219</v>
      </c>
      <c r="N4389">
        <v>5</v>
      </c>
    </row>
    <row r="4390" spans="1:14" x14ac:dyDescent="0.25">
      <c r="A4390" s="3" t="str">
        <f>HYPERLINK("http://www.ncbi.nlm.nih.gov/gene/51271","51271")</f>
        <v>51271</v>
      </c>
      <c r="B4390" s="1" t="s">
        <v>10220</v>
      </c>
      <c r="C4390" t="s">
        <v>10221</v>
      </c>
      <c r="D4390">
        <v>147.19999999999999</v>
      </c>
      <c r="E4390">
        <v>151</v>
      </c>
      <c r="F4390">
        <v>98.8</v>
      </c>
      <c r="G4390">
        <v>93.4</v>
      </c>
      <c r="H4390">
        <v>149.5</v>
      </c>
      <c r="I4390">
        <v>153.9</v>
      </c>
      <c r="J4390">
        <v>100</v>
      </c>
      <c r="K4390">
        <v>100</v>
      </c>
      <c r="L4390" s="1" t="s">
        <v>10220</v>
      </c>
      <c r="M4390" t="s">
        <v>600</v>
      </c>
      <c r="N4390">
        <v>2</v>
      </c>
    </row>
    <row r="4391" spans="1:14" x14ac:dyDescent="0.25">
      <c r="A4391" s="3" t="str">
        <f>HYPERLINK("http://www.ncbi.nlm.nih.gov/gene/7314","7314")</f>
        <v>7314</v>
      </c>
      <c r="B4391" s="1" t="s">
        <v>10222</v>
      </c>
      <c r="C4391" t="s">
        <v>10223</v>
      </c>
      <c r="D4391">
        <v>50.5</v>
      </c>
      <c r="E4391">
        <v>49.1</v>
      </c>
      <c r="F4391">
        <v>100</v>
      </c>
      <c r="G4391">
        <v>99.4</v>
      </c>
      <c r="H4391">
        <v>238.3</v>
      </c>
      <c r="I4391">
        <v>242.7</v>
      </c>
      <c r="J4391">
        <v>100</v>
      </c>
      <c r="K4391">
        <v>100</v>
      </c>
      <c r="L4391" s="1" t="s">
        <v>10222</v>
      </c>
      <c r="M4391" t="s">
        <v>554</v>
      </c>
      <c r="N4391">
        <v>2</v>
      </c>
    </row>
    <row r="4392" spans="1:14" x14ac:dyDescent="0.25">
      <c r="A4392" s="3" t="str">
        <f>HYPERLINK("http://www.ncbi.nlm.nih.gov/gene/7319","7319")</f>
        <v>7319</v>
      </c>
      <c r="B4392" s="1" t="s">
        <v>10224</v>
      </c>
      <c r="C4392" t="s">
        <v>10225</v>
      </c>
      <c r="D4392">
        <v>124.7</v>
      </c>
      <c r="E4392">
        <v>127.5</v>
      </c>
      <c r="F4392">
        <v>99.7</v>
      </c>
      <c r="G4392">
        <v>96</v>
      </c>
      <c r="H4392">
        <v>106.1</v>
      </c>
      <c r="I4392">
        <v>107.9</v>
      </c>
      <c r="J4392">
        <v>100</v>
      </c>
      <c r="K4392">
        <v>99.7</v>
      </c>
      <c r="L4392" s="1" t="s">
        <v>10224</v>
      </c>
      <c r="M4392" t="s">
        <v>10226</v>
      </c>
      <c r="N4392">
        <v>3</v>
      </c>
    </row>
    <row r="4393" spans="1:14" x14ac:dyDescent="0.25">
      <c r="A4393" s="3" t="str">
        <f>HYPERLINK("http://www.ncbi.nlm.nih.gov/gene/29089","29089")</f>
        <v>29089</v>
      </c>
      <c r="B4393" s="1" t="s">
        <v>10227</v>
      </c>
      <c r="C4393" t="s">
        <v>10228</v>
      </c>
      <c r="D4393">
        <v>108.9</v>
      </c>
      <c r="E4393">
        <v>109.4</v>
      </c>
      <c r="F4393">
        <v>100</v>
      </c>
      <c r="G4393">
        <v>99.9</v>
      </c>
      <c r="H4393">
        <v>149</v>
      </c>
      <c r="I4393">
        <v>152.4</v>
      </c>
      <c r="J4393">
        <v>100</v>
      </c>
      <c r="K4393">
        <v>100</v>
      </c>
      <c r="L4393" s="1" t="s">
        <v>10227</v>
      </c>
      <c r="M4393" t="s">
        <v>3235</v>
      </c>
      <c r="N4393">
        <v>3</v>
      </c>
    </row>
    <row r="4394" spans="1:14" x14ac:dyDescent="0.25">
      <c r="A4394" s="3" t="str">
        <f>HYPERLINK("http://www.ncbi.nlm.nih.gov/gene/7337","7337")</f>
        <v>7337</v>
      </c>
      <c r="B4394" s="1" t="s">
        <v>10229</v>
      </c>
      <c r="C4394" t="s">
        <v>10230</v>
      </c>
      <c r="D4394">
        <v>96.1</v>
      </c>
      <c r="E4394">
        <v>95.8</v>
      </c>
      <c r="F4394">
        <v>99.1</v>
      </c>
      <c r="G4394">
        <v>94.8</v>
      </c>
      <c r="H4394">
        <v>146.80000000000001</v>
      </c>
      <c r="I4394">
        <v>149.69999999999999</v>
      </c>
      <c r="J4394">
        <v>100</v>
      </c>
      <c r="K4394">
        <v>100</v>
      </c>
      <c r="L4394" s="1" t="s">
        <v>10229</v>
      </c>
      <c r="M4394" t="s">
        <v>10231</v>
      </c>
      <c r="N4394">
        <v>3</v>
      </c>
    </row>
    <row r="4395" spans="1:14" x14ac:dyDescent="0.25">
      <c r="A4395" s="3" t="str">
        <f>HYPERLINK("http://www.ncbi.nlm.nih.gov/gene/89910","89910")</f>
        <v>89910</v>
      </c>
      <c r="B4395" s="1" t="s">
        <v>10232</v>
      </c>
      <c r="C4395" t="s">
        <v>10233</v>
      </c>
      <c r="D4395">
        <v>127.9</v>
      </c>
      <c r="E4395">
        <v>133.5</v>
      </c>
      <c r="F4395">
        <v>100</v>
      </c>
      <c r="G4395">
        <v>99.9</v>
      </c>
      <c r="H4395">
        <v>134.9</v>
      </c>
      <c r="I4395">
        <v>138.69999999999999</v>
      </c>
      <c r="J4395">
        <v>100</v>
      </c>
      <c r="K4395">
        <v>100</v>
      </c>
      <c r="L4395" s="1" t="s">
        <v>10232</v>
      </c>
      <c r="M4395" t="s">
        <v>228</v>
      </c>
      <c r="N4395">
        <v>3</v>
      </c>
    </row>
    <row r="4396" spans="1:14" x14ac:dyDescent="0.25">
      <c r="A4396" s="3" t="str">
        <f>HYPERLINK("http://www.ncbi.nlm.nih.gov/gene/29914","29914")</f>
        <v>29914</v>
      </c>
      <c r="B4396" s="1" t="s">
        <v>10234</v>
      </c>
      <c r="C4396" t="s">
        <v>10235</v>
      </c>
      <c r="D4396">
        <v>232</v>
      </c>
      <c r="E4396">
        <v>250</v>
      </c>
      <c r="F4396">
        <v>99.5</v>
      </c>
      <c r="G4396">
        <v>96</v>
      </c>
      <c r="H4396">
        <v>181.1</v>
      </c>
      <c r="I4396">
        <v>189.7</v>
      </c>
      <c r="J4396">
        <v>100</v>
      </c>
      <c r="K4396">
        <v>100</v>
      </c>
      <c r="L4396" s="1" t="s">
        <v>10234</v>
      </c>
      <c r="M4396" t="s">
        <v>302</v>
      </c>
      <c r="N4396">
        <v>2</v>
      </c>
    </row>
    <row r="4397" spans="1:14" x14ac:dyDescent="0.25">
      <c r="A4397" s="3" t="str">
        <f>HYPERLINK("http://www.ncbi.nlm.nih.gov/gene/29978","29978")</f>
        <v>29978</v>
      </c>
      <c r="B4397" s="1" t="s">
        <v>10236</v>
      </c>
      <c r="C4397" t="s">
        <v>10237</v>
      </c>
      <c r="D4397">
        <v>125</v>
      </c>
      <c r="E4397">
        <v>123.7</v>
      </c>
      <c r="F4397">
        <v>100</v>
      </c>
      <c r="G4397">
        <v>99.4</v>
      </c>
      <c r="H4397">
        <v>159.9</v>
      </c>
      <c r="I4397">
        <v>160.19999999999999</v>
      </c>
      <c r="J4397">
        <v>100</v>
      </c>
      <c r="K4397">
        <v>100</v>
      </c>
      <c r="L4397" s="1" t="s">
        <v>10236</v>
      </c>
      <c r="M4397" t="s">
        <v>10238</v>
      </c>
      <c r="N4397">
        <v>2</v>
      </c>
    </row>
    <row r="4398" spans="1:14" x14ac:dyDescent="0.25">
      <c r="A4398" s="3" t="str">
        <f>HYPERLINK("http://www.ncbi.nlm.nih.gov/gene/197131","197131")</f>
        <v>197131</v>
      </c>
      <c r="B4398" s="1" t="s">
        <v>10239</v>
      </c>
      <c r="C4398" t="s">
        <v>10240</v>
      </c>
      <c r="D4398">
        <v>138.80000000000001</v>
      </c>
      <c r="E4398">
        <v>143.80000000000001</v>
      </c>
      <c r="F4398">
        <v>99.9</v>
      </c>
      <c r="G4398">
        <v>99.1</v>
      </c>
      <c r="H4398">
        <v>128.4</v>
      </c>
      <c r="I4398">
        <v>132</v>
      </c>
      <c r="J4398">
        <v>98</v>
      </c>
      <c r="K4398">
        <v>98</v>
      </c>
      <c r="L4398" s="1" t="s">
        <v>10239</v>
      </c>
      <c r="M4398" t="s">
        <v>10241</v>
      </c>
      <c r="N4398">
        <v>5</v>
      </c>
    </row>
    <row r="4399" spans="1:14" x14ac:dyDescent="0.25">
      <c r="A4399" s="3" t="str">
        <f>HYPERLINK("http://www.ncbi.nlm.nih.gov/gene/7343","7343")</f>
        <v>7343</v>
      </c>
      <c r="B4399" s="1" t="s">
        <v>10242</v>
      </c>
      <c r="C4399" t="s">
        <v>10243</v>
      </c>
      <c r="D4399">
        <v>126.9</v>
      </c>
      <c r="E4399">
        <v>129.1</v>
      </c>
      <c r="F4399">
        <v>100</v>
      </c>
      <c r="G4399">
        <v>99.4</v>
      </c>
      <c r="H4399">
        <v>152.5</v>
      </c>
      <c r="I4399">
        <v>156.69999999999999</v>
      </c>
      <c r="J4399">
        <v>100</v>
      </c>
      <c r="K4399">
        <v>100</v>
      </c>
      <c r="L4399" s="1" t="s">
        <v>10242</v>
      </c>
      <c r="M4399" t="s">
        <v>877</v>
      </c>
      <c r="N4399">
        <v>4</v>
      </c>
    </row>
    <row r="4400" spans="1:14" x14ac:dyDescent="0.25">
      <c r="A4400" s="3" t="str">
        <f>HYPERLINK("http://www.ncbi.nlm.nih.gov/gene/7345","7345")</f>
        <v>7345</v>
      </c>
      <c r="B4400" s="1" t="s">
        <v>10244</v>
      </c>
      <c r="C4400" t="s">
        <v>10245</v>
      </c>
      <c r="D4400">
        <v>115.2</v>
      </c>
      <c r="E4400">
        <v>117.1</v>
      </c>
      <c r="F4400">
        <v>99.8</v>
      </c>
      <c r="G4400">
        <v>92.5</v>
      </c>
      <c r="H4400">
        <v>139.1</v>
      </c>
      <c r="I4400">
        <v>141.9</v>
      </c>
      <c r="J4400">
        <v>100</v>
      </c>
      <c r="K4400">
        <v>100</v>
      </c>
      <c r="L4400" s="1" t="s">
        <v>10244</v>
      </c>
      <c r="M4400" t="s">
        <v>44</v>
      </c>
      <c r="N4400">
        <v>3</v>
      </c>
    </row>
    <row r="4401" spans="1:14" x14ac:dyDescent="0.25">
      <c r="A4401" s="3" t="str">
        <f>HYPERLINK("http://www.ncbi.nlm.nih.gov/gene/51506","51506")</f>
        <v>51506</v>
      </c>
      <c r="B4401" s="1" t="s">
        <v>10246</v>
      </c>
      <c r="C4401" t="s">
        <v>10247</v>
      </c>
      <c r="D4401">
        <v>136.1</v>
      </c>
      <c r="E4401">
        <v>137.30000000000001</v>
      </c>
      <c r="F4401">
        <v>100</v>
      </c>
      <c r="G4401">
        <v>100</v>
      </c>
      <c r="H4401">
        <v>135.19999999999999</v>
      </c>
      <c r="I4401">
        <v>137.69999999999999</v>
      </c>
      <c r="J4401">
        <v>100</v>
      </c>
      <c r="K4401">
        <v>100</v>
      </c>
      <c r="L4401" s="1" t="s">
        <v>10246</v>
      </c>
      <c r="M4401" t="s">
        <v>228</v>
      </c>
      <c r="N4401">
        <v>3</v>
      </c>
    </row>
    <row r="4402" spans="1:14" x14ac:dyDescent="0.25">
      <c r="A4402" s="3" t="str">
        <f>HYPERLINK("http://www.ncbi.nlm.nih.gov/gene/51569","51569")</f>
        <v>51569</v>
      </c>
      <c r="B4402" s="1" t="s">
        <v>10248</v>
      </c>
      <c r="C4402" t="s">
        <v>10249</v>
      </c>
      <c r="D4402">
        <v>145</v>
      </c>
      <c r="E4402">
        <v>144.5</v>
      </c>
      <c r="F4402">
        <v>74</v>
      </c>
      <c r="G4402">
        <v>69.400000000000006</v>
      </c>
      <c r="H4402">
        <v>146.6</v>
      </c>
      <c r="I4402">
        <v>148.5</v>
      </c>
      <c r="J4402">
        <v>100</v>
      </c>
      <c r="K4402">
        <v>100</v>
      </c>
      <c r="L4402" s="1" t="s">
        <v>10248</v>
      </c>
      <c r="M4402" t="s">
        <v>228</v>
      </c>
      <c r="N4402">
        <v>3</v>
      </c>
    </row>
    <row r="4403" spans="1:14" x14ac:dyDescent="0.25">
      <c r="A4403" s="3" t="str">
        <f>HYPERLINK("http://www.ncbi.nlm.nih.gov/gene/55325","55325")</f>
        <v>55325</v>
      </c>
      <c r="B4403" s="1" t="s">
        <v>10250</v>
      </c>
      <c r="C4403" t="s">
        <v>10251</v>
      </c>
      <c r="D4403">
        <v>166.3</v>
      </c>
      <c r="E4403">
        <v>173</v>
      </c>
      <c r="F4403">
        <v>100</v>
      </c>
      <c r="G4403">
        <v>99.6</v>
      </c>
      <c r="H4403">
        <v>135.1</v>
      </c>
      <c r="I4403">
        <v>138.9</v>
      </c>
      <c r="J4403">
        <v>100</v>
      </c>
      <c r="K4403">
        <v>100</v>
      </c>
      <c r="L4403" s="1" t="s">
        <v>10250</v>
      </c>
      <c r="M4403" t="s">
        <v>1253</v>
      </c>
      <c r="N4403">
        <v>2</v>
      </c>
    </row>
    <row r="4404" spans="1:14" x14ac:dyDescent="0.25">
      <c r="A4404" s="3" t="str">
        <f>HYPERLINK("http://www.ncbi.nlm.nih.gov/gene/7358","7358")</f>
        <v>7358</v>
      </c>
      <c r="B4404" s="1" t="s">
        <v>10252</v>
      </c>
      <c r="C4404" t="s">
        <v>10253</v>
      </c>
      <c r="D4404">
        <v>161.69999999999999</v>
      </c>
      <c r="E4404">
        <v>164.7</v>
      </c>
      <c r="F4404">
        <v>99.9</v>
      </c>
      <c r="G4404">
        <v>99.1</v>
      </c>
      <c r="H4404">
        <v>143.9</v>
      </c>
      <c r="I4404">
        <v>148.30000000000001</v>
      </c>
      <c r="J4404">
        <v>100</v>
      </c>
      <c r="K4404">
        <v>100</v>
      </c>
      <c r="L4404" s="1" t="s">
        <v>10252</v>
      </c>
      <c r="M4404" t="s">
        <v>50</v>
      </c>
      <c r="N4404">
        <v>2</v>
      </c>
    </row>
    <row r="4405" spans="1:14" x14ac:dyDescent="0.25">
      <c r="A4405" s="3" t="str">
        <f>HYPERLINK("http://www.ncbi.nlm.nih.gov/gene/7360","7360")</f>
        <v>7360</v>
      </c>
      <c r="B4405" s="1" t="s">
        <v>10254</v>
      </c>
      <c r="C4405" t="s">
        <v>10255</v>
      </c>
      <c r="D4405">
        <v>149.80000000000001</v>
      </c>
      <c r="E4405">
        <v>154.69999999999999</v>
      </c>
      <c r="F4405">
        <v>99</v>
      </c>
      <c r="G4405">
        <v>98.6</v>
      </c>
      <c r="H4405">
        <v>115.1</v>
      </c>
      <c r="I4405">
        <v>118.5</v>
      </c>
      <c r="J4405">
        <v>96.3</v>
      </c>
      <c r="K4405">
        <v>96.3</v>
      </c>
      <c r="L4405" s="1" t="s">
        <v>10254</v>
      </c>
      <c r="M4405" t="s">
        <v>10256</v>
      </c>
      <c r="N4405">
        <v>3</v>
      </c>
    </row>
    <row r="4406" spans="1:14" x14ac:dyDescent="0.25">
      <c r="A4406" s="3" t="str">
        <f>HYPERLINK("http://www.ncbi.nlm.nih.gov/gene/54658","54658")</f>
        <v>54658</v>
      </c>
      <c r="B4406" s="1" t="s">
        <v>10257</v>
      </c>
      <c r="C4406" t="s">
        <v>10258</v>
      </c>
      <c r="D4406">
        <v>224.8</v>
      </c>
      <c r="E4406">
        <v>227.3</v>
      </c>
      <c r="F4406">
        <v>100</v>
      </c>
      <c r="G4406">
        <v>100</v>
      </c>
      <c r="H4406">
        <v>163.19999999999999</v>
      </c>
      <c r="I4406">
        <v>167.5</v>
      </c>
      <c r="J4406">
        <v>100</v>
      </c>
      <c r="K4406">
        <v>100</v>
      </c>
      <c r="L4406" s="1" t="s">
        <v>10257</v>
      </c>
      <c r="M4406" t="s">
        <v>96</v>
      </c>
      <c r="N4406">
        <v>4</v>
      </c>
    </row>
    <row r="4407" spans="1:14" x14ac:dyDescent="0.25">
      <c r="A4407" s="3" t="str">
        <f>HYPERLINK("http://www.ncbi.nlm.nih.gov/gene/7369","7369")</f>
        <v>7369</v>
      </c>
      <c r="B4407" s="1" t="s">
        <v>10259</v>
      </c>
      <c r="C4407" t="s">
        <v>10260</v>
      </c>
      <c r="D4407">
        <v>104.2</v>
      </c>
      <c r="E4407">
        <v>104.2</v>
      </c>
      <c r="F4407">
        <v>97.7</v>
      </c>
      <c r="G4407">
        <v>96.2</v>
      </c>
      <c r="H4407">
        <v>146.69999999999999</v>
      </c>
      <c r="I4407">
        <v>146.6</v>
      </c>
      <c r="J4407">
        <v>100</v>
      </c>
      <c r="K4407">
        <v>100</v>
      </c>
      <c r="L4407" s="1" t="s">
        <v>10259</v>
      </c>
      <c r="M4407" t="s">
        <v>9081</v>
      </c>
      <c r="N4407">
        <v>3</v>
      </c>
    </row>
    <row r="4408" spans="1:14" x14ac:dyDescent="0.25">
      <c r="A4408" s="3" t="str">
        <f>HYPERLINK("http://www.ncbi.nlm.nih.gov/gene/7372","7372")</f>
        <v>7372</v>
      </c>
      <c r="B4408" s="1" t="s">
        <v>10261</v>
      </c>
      <c r="C4408" t="s">
        <v>10262</v>
      </c>
      <c r="D4408">
        <v>165.6</v>
      </c>
      <c r="E4408">
        <v>174.8</v>
      </c>
      <c r="F4408">
        <v>100</v>
      </c>
      <c r="G4408">
        <v>99.4</v>
      </c>
      <c r="H4408">
        <v>127.7</v>
      </c>
      <c r="I4408">
        <v>130.4</v>
      </c>
      <c r="J4408">
        <v>97</v>
      </c>
      <c r="K4408">
        <v>97</v>
      </c>
      <c r="L4408" s="1" t="s">
        <v>10261</v>
      </c>
      <c r="M4408" t="s">
        <v>116</v>
      </c>
      <c r="N4408">
        <v>3</v>
      </c>
    </row>
    <row r="4409" spans="1:14" x14ac:dyDescent="0.25">
      <c r="A4409" s="3" t="str">
        <f>HYPERLINK("http://www.ncbi.nlm.nih.gov/gene/9094","9094")</f>
        <v>9094</v>
      </c>
      <c r="B4409" s="1" t="s">
        <v>10263</v>
      </c>
      <c r="C4409" t="s">
        <v>10264</v>
      </c>
      <c r="D4409">
        <v>118.6</v>
      </c>
      <c r="E4409">
        <v>124.5</v>
      </c>
      <c r="F4409">
        <v>100</v>
      </c>
      <c r="G4409">
        <v>99.7</v>
      </c>
      <c r="H4409">
        <v>118.5</v>
      </c>
      <c r="I4409">
        <v>121.7</v>
      </c>
      <c r="J4409">
        <v>100</v>
      </c>
      <c r="K4409">
        <v>100</v>
      </c>
      <c r="L4409" s="1" t="s">
        <v>10263</v>
      </c>
      <c r="M4409" t="s">
        <v>285</v>
      </c>
      <c r="N4409">
        <v>1</v>
      </c>
    </row>
    <row r="4410" spans="1:14" x14ac:dyDescent="0.25">
      <c r="A4410" s="3" t="str">
        <f>HYPERLINK("http://www.ncbi.nlm.nih.gov/gene/23025","23025")</f>
        <v>23025</v>
      </c>
      <c r="B4410" s="1" t="s">
        <v>10265</v>
      </c>
      <c r="C4410" t="s">
        <v>10266</v>
      </c>
      <c r="D4410">
        <v>126.5</v>
      </c>
      <c r="E4410">
        <v>130.19999999999999</v>
      </c>
      <c r="F4410">
        <v>99.3</v>
      </c>
      <c r="G4410">
        <v>97.7</v>
      </c>
      <c r="H4410">
        <v>144.30000000000001</v>
      </c>
      <c r="I4410">
        <v>148.5</v>
      </c>
      <c r="J4410">
        <v>100</v>
      </c>
      <c r="K4410">
        <v>100</v>
      </c>
      <c r="L4410" s="1" t="s">
        <v>10265</v>
      </c>
      <c r="M4410" t="s">
        <v>189</v>
      </c>
      <c r="N4410">
        <v>2</v>
      </c>
    </row>
    <row r="4411" spans="1:14" x14ac:dyDescent="0.25">
      <c r="A4411" s="3" t="str">
        <f>HYPERLINK("http://www.ncbi.nlm.nih.gov/gene/201294","201294")</f>
        <v>201294</v>
      </c>
      <c r="B4411" s="1" t="s">
        <v>10267</v>
      </c>
      <c r="C4411" t="s">
        <v>10268</v>
      </c>
      <c r="D4411">
        <v>105.5</v>
      </c>
      <c r="E4411">
        <v>106.2</v>
      </c>
      <c r="F4411">
        <v>99.7</v>
      </c>
      <c r="G4411">
        <v>98.1</v>
      </c>
      <c r="H4411">
        <v>129.1</v>
      </c>
      <c r="I4411">
        <v>131.9</v>
      </c>
      <c r="J4411">
        <v>100</v>
      </c>
      <c r="K4411">
        <v>100</v>
      </c>
      <c r="L4411" s="1" t="s">
        <v>10267</v>
      </c>
      <c r="M4411" t="s">
        <v>1097</v>
      </c>
      <c r="N4411">
        <v>3</v>
      </c>
    </row>
    <row r="4412" spans="1:14" x14ac:dyDescent="0.25">
      <c r="A4412" s="3" t="str">
        <f>HYPERLINK("http://www.ncbi.nlm.nih.gov/gene/146862","146862")</f>
        <v>146862</v>
      </c>
      <c r="B4412" s="1" t="s">
        <v>10269</v>
      </c>
      <c r="C4412" t="s">
        <v>10270</v>
      </c>
      <c r="D4412">
        <v>119.7</v>
      </c>
      <c r="E4412">
        <v>126</v>
      </c>
      <c r="F4412">
        <v>99.3</v>
      </c>
      <c r="G4412">
        <v>98</v>
      </c>
      <c r="H4412">
        <v>125.4</v>
      </c>
      <c r="I4412">
        <v>129.4</v>
      </c>
      <c r="J4412">
        <v>100</v>
      </c>
      <c r="K4412">
        <v>100</v>
      </c>
      <c r="L4412" s="1" t="s">
        <v>10269</v>
      </c>
      <c r="M4412" t="s">
        <v>302</v>
      </c>
      <c r="N4412">
        <v>2</v>
      </c>
    </row>
    <row r="4413" spans="1:14" x14ac:dyDescent="0.25">
      <c r="A4413" s="3" t="str">
        <f>HYPERLINK("http://www.ncbi.nlm.nih.gov/gene/285175","285175")</f>
        <v>285175</v>
      </c>
      <c r="B4413" s="1" t="s">
        <v>10271</v>
      </c>
      <c r="C4413" t="s">
        <v>10272</v>
      </c>
      <c r="D4413">
        <v>123.2</v>
      </c>
      <c r="E4413">
        <v>128.69999999999999</v>
      </c>
      <c r="F4413">
        <v>97.9</v>
      </c>
      <c r="G4413">
        <v>97.4</v>
      </c>
      <c r="H4413">
        <v>139.6</v>
      </c>
      <c r="I4413">
        <v>143.9</v>
      </c>
      <c r="J4413">
        <v>100</v>
      </c>
      <c r="K4413">
        <v>100</v>
      </c>
      <c r="L4413" s="1" t="s">
        <v>10271</v>
      </c>
      <c r="M4413" t="s">
        <v>228</v>
      </c>
      <c r="N4413">
        <v>3</v>
      </c>
    </row>
    <row r="4414" spans="1:14" x14ac:dyDescent="0.25">
      <c r="A4414" s="3" t="str">
        <f>HYPERLINK("http://www.ncbi.nlm.nih.gov/gene/81622","81622")</f>
        <v>81622</v>
      </c>
      <c r="B4414" s="1" t="s">
        <v>10273</v>
      </c>
      <c r="C4414" t="s">
        <v>10274</v>
      </c>
      <c r="D4414">
        <v>57.9</v>
      </c>
      <c r="E4414">
        <v>60.3</v>
      </c>
      <c r="F4414">
        <v>60.6</v>
      </c>
      <c r="G4414">
        <v>58.8</v>
      </c>
      <c r="H4414">
        <v>131.30000000000001</v>
      </c>
      <c r="I4414">
        <v>135.80000000000001</v>
      </c>
      <c r="J4414">
        <v>100</v>
      </c>
      <c r="K4414">
        <v>100</v>
      </c>
      <c r="L4414" s="1" t="s">
        <v>10273</v>
      </c>
      <c r="M4414" t="s">
        <v>502</v>
      </c>
      <c r="N4414">
        <v>2</v>
      </c>
    </row>
    <row r="4415" spans="1:14" x14ac:dyDescent="0.25">
      <c r="A4415" s="3" t="str">
        <f>HYPERLINK("http://www.ncbi.nlm.nih.gov/gene/7374","7374")</f>
        <v>7374</v>
      </c>
      <c r="B4415" s="1" t="s">
        <v>10275</v>
      </c>
      <c r="C4415" t="s">
        <v>10276</v>
      </c>
      <c r="D4415">
        <v>119.8</v>
      </c>
      <c r="E4415">
        <v>124.8</v>
      </c>
      <c r="F4415">
        <v>100</v>
      </c>
      <c r="G4415">
        <v>98.8</v>
      </c>
      <c r="H4415">
        <v>118.9</v>
      </c>
      <c r="I4415">
        <v>121.7</v>
      </c>
      <c r="J4415">
        <v>99.9</v>
      </c>
      <c r="K4415">
        <v>99.3</v>
      </c>
      <c r="L4415" s="1" t="s">
        <v>10275</v>
      </c>
      <c r="M4415" t="s">
        <v>1097</v>
      </c>
      <c r="N4415">
        <v>3</v>
      </c>
    </row>
    <row r="4416" spans="1:14" x14ac:dyDescent="0.25">
      <c r="A4416" s="3" t="str">
        <f>HYPERLINK("http://www.ncbi.nlm.nih.gov/gene/51733","51733")</f>
        <v>51733</v>
      </c>
      <c r="B4416" s="1" t="s">
        <v>10277</v>
      </c>
      <c r="C4416" t="s">
        <v>10278</v>
      </c>
      <c r="D4416">
        <v>159.9</v>
      </c>
      <c r="E4416">
        <v>160.9</v>
      </c>
      <c r="F4416">
        <v>100</v>
      </c>
      <c r="G4416">
        <v>100</v>
      </c>
      <c r="H4416">
        <v>143.80000000000001</v>
      </c>
      <c r="I4416">
        <v>147.69999999999999</v>
      </c>
      <c r="J4416">
        <v>100</v>
      </c>
      <c r="K4416">
        <v>100</v>
      </c>
      <c r="L4416" s="1" t="s">
        <v>10277</v>
      </c>
      <c r="M4416" t="s">
        <v>38</v>
      </c>
      <c r="N4416">
        <v>4</v>
      </c>
    </row>
    <row r="4417" spans="1:14" x14ac:dyDescent="0.25">
      <c r="A4417" s="3" t="str">
        <f>HYPERLINK("http://www.ncbi.nlm.nih.gov/gene/65109","65109")</f>
        <v>65109</v>
      </c>
      <c r="B4417" s="1" t="s">
        <v>10279</v>
      </c>
      <c r="C4417" t="s">
        <v>10280</v>
      </c>
      <c r="D4417">
        <v>60.4</v>
      </c>
      <c r="E4417">
        <v>61.2</v>
      </c>
      <c r="F4417">
        <v>92.2</v>
      </c>
      <c r="G4417">
        <v>84.1</v>
      </c>
      <c r="H4417">
        <v>116.3</v>
      </c>
      <c r="I4417">
        <v>119.4</v>
      </c>
      <c r="J4417">
        <v>100</v>
      </c>
      <c r="K4417">
        <v>100</v>
      </c>
      <c r="L4417" s="1" t="s">
        <v>10279</v>
      </c>
      <c r="M4417" t="s">
        <v>10281</v>
      </c>
      <c r="N4417">
        <v>3</v>
      </c>
    </row>
    <row r="4418" spans="1:14" x14ac:dyDescent="0.25">
      <c r="A4418" s="3" t="str">
        <f>HYPERLINK("http://www.ncbi.nlm.nih.gov/gene/7380","7380")</f>
        <v>7380</v>
      </c>
      <c r="B4418" s="1" t="s">
        <v>10282</v>
      </c>
      <c r="C4418" t="s">
        <v>10283</v>
      </c>
      <c r="D4418">
        <v>111.7</v>
      </c>
      <c r="E4418">
        <v>117.9</v>
      </c>
      <c r="F4418">
        <v>100</v>
      </c>
      <c r="G4418">
        <v>99.5</v>
      </c>
      <c r="H4418">
        <v>156</v>
      </c>
      <c r="I4418">
        <v>161.1</v>
      </c>
      <c r="J4418">
        <v>100</v>
      </c>
      <c r="K4418">
        <v>100</v>
      </c>
      <c r="L4418" s="1" t="s">
        <v>10282</v>
      </c>
      <c r="M4418" t="s">
        <v>200</v>
      </c>
      <c r="N4418">
        <v>2</v>
      </c>
    </row>
    <row r="4419" spans="1:14" x14ac:dyDescent="0.25">
      <c r="A4419" s="3" t="str">
        <f>HYPERLINK("http://www.ncbi.nlm.nih.gov/gene/55245","55245")</f>
        <v>55245</v>
      </c>
      <c r="B4419" s="1" t="s">
        <v>10284</v>
      </c>
      <c r="C4419" t="s">
        <v>10285</v>
      </c>
      <c r="D4419">
        <v>112.7</v>
      </c>
      <c r="E4419">
        <v>115.9</v>
      </c>
      <c r="F4419">
        <v>100</v>
      </c>
      <c r="G4419">
        <v>99.9</v>
      </c>
      <c r="H4419">
        <v>126.5</v>
      </c>
      <c r="I4419">
        <v>130.69999999999999</v>
      </c>
      <c r="J4419">
        <v>100</v>
      </c>
      <c r="K4419">
        <v>100</v>
      </c>
      <c r="L4419" s="1" t="s">
        <v>10284</v>
      </c>
      <c r="M4419" t="s">
        <v>265</v>
      </c>
      <c r="N4419">
        <v>2</v>
      </c>
    </row>
    <row r="4420" spans="1:14" x14ac:dyDescent="0.25">
      <c r="A4420" s="3" t="str">
        <f>HYPERLINK("http://www.ncbi.nlm.nih.gov/gene/84300","84300")</f>
        <v>84300</v>
      </c>
      <c r="B4420" s="1" t="s">
        <v>10286</v>
      </c>
      <c r="C4420" t="s">
        <v>10287</v>
      </c>
      <c r="D4420">
        <v>113</v>
      </c>
      <c r="E4420">
        <v>114.9</v>
      </c>
      <c r="F4420">
        <v>100</v>
      </c>
      <c r="G4420">
        <v>99.7</v>
      </c>
      <c r="H4420">
        <v>145.9</v>
      </c>
      <c r="I4420">
        <v>149</v>
      </c>
      <c r="J4420">
        <v>100</v>
      </c>
      <c r="K4420">
        <v>100</v>
      </c>
      <c r="L4420" s="1" t="s">
        <v>10286</v>
      </c>
      <c r="M4420" t="s">
        <v>8324</v>
      </c>
      <c r="N4420">
        <v>4</v>
      </c>
    </row>
    <row r="4421" spans="1:14" x14ac:dyDescent="0.25">
      <c r="A4421" s="3" t="str">
        <f>HYPERLINK("http://www.ncbi.nlm.nih.gov/gene/790955","790955")</f>
        <v>790955</v>
      </c>
      <c r="B4421" s="1" t="s">
        <v>10288</v>
      </c>
      <c r="C4421" t="s">
        <v>10289</v>
      </c>
      <c r="D4421">
        <v>122.7</v>
      </c>
      <c r="E4421">
        <v>123.3</v>
      </c>
      <c r="F4421">
        <v>100</v>
      </c>
      <c r="G4421">
        <v>98.7</v>
      </c>
      <c r="H4421">
        <v>132</v>
      </c>
      <c r="I4421">
        <v>137.19999999999999</v>
      </c>
      <c r="J4421">
        <v>100</v>
      </c>
      <c r="K4421">
        <v>100</v>
      </c>
      <c r="L4421" s="1" t="s">
        <v>10288</v>
      </c>
      <c r="M4421" t="s">
        <v>766</v>
      </c>
      <c r="N4421">
        <v>3</v>
      </c>
    </row>
    <row r="4422" spans="1:14" x14ac:dyDescent="0.25">
      <c r="A4422" s="3" t="str">
        <f>HYPERLINK("http://www.ncbi.nlm.nih.gov/gene/29796","29796")</f>
        <v>29796</v>
      </c>
      <c r="B4422" s="1" t="s">
        <v>10290</v>
      </c>
      <c r="C4422" t="s">
        <v>10291</v>
      </c>
      <c r="D4422">
        <v>172.3</v>
      </c>
      <c r="E4422">
        <v>170.4</v>
      </c>
      <c r="F4422">
        <v>100</v>
      </c>
      <c r="G4422">
        <v>100</v>
      </c>
      <c r="H4422">
        <v>130.30000000000001</v>
      </c>
      <c r="I4422">
        <v>135.5</v>
      </c>
      <c r="J4422">
        <v>100</v>
      </c>
      <c r="K4422">
        <v>100</v>
      </c>
      <c r="L4422" s="1" t="s">
        <v>10290</v>
      </c>
      <c r="M4422" t="s">
        <v>265</v>
      </c>
      <c r="N4422">
        <v>2</v>
      </c>
    </row>
    <row r="4423" spans="1:14" x14ac:dyDescent="0.25">
      <c r="A4423" s="3" t="str">
        <f>HYPERLINK("http://www.ncbi.nlm.nih.gov/gene/10975","10975")</f>
        <v>10975</v>
      </c>
      <c r="B4423" s="1" t="s">
        <v>10292</v>
      </c>
      <c r="C4423" t="s">
        <v>10293</v>
      </c>
      <c r="D4423">
        <v>209.9</v>
      </c>
      <c r="E4423">
        <v>217.1</v>
      </c>
      <c r="F4423">
        <v>100</v>
      </c>
      <c r="G4423">
        <v>100</v>
      </c>
      <c r="H4423">
        <v>133.5</v>
      </c>
      <c r="I4423">
        <v>137.30000000000001</v>
      </c>
      <c r="J4423">
        <v>100</v>
      </c>
      <c r="K4423">
        <v>100</v>
      </c>
      <c r="L4423" s="1" t="s">
        <v>10292</v>
      </c>
      <c r="M4423" t="s">
        <v>265</v>
      </c>
      <c r="N4423">
        <v>2</v>
      </c>
    </row>
    <row r="4424" spans="1:14" x14ac:dyDescent="0.25">
      <c r="A4424" s="3" t="str">
        <f>HYPERLINK("http://www.ncbi.nlm.nih.gov/gene/7381","7381")</f>
        <v>7381</v>
      </c>
      <c r="B4424" s="1" t="s">
        <v>10294</v>
      </c>
      <c r="C4424" t="s">
        <v>10295</v>
      </c>
      <c r="D4424">
        <v>117.6</v>
      </c>
      <c r="E4424">
        <v>117.8</v>
      </c>
      <c r="F4424">
        <v>99.4</v>
      </c>
      <c r="G4424">
        <v>95.1</v>
      </c>
      <c r="H4424">
        <v>173.7</v>
      </c>
      <c r="I4424">
        <v>178.3</v>
      </c>
      <c r="J4424">
        <v>100</v>
      </c>
      <c r="K4424">
        <v>100</v>
      </c>
      <c r="L4424" s="1" t="s">
        <v>10294</v>
      </c>
      <c r="M4424" t="s">
        <v>766</v>
      </c>
      <c r="N4424">
        <v>3</v>
      </c>
    </row>
    <row r="4425" spans="1:14" x14ac:dyDescent="0.25">
      <c r="A4425" s="3" t="str">
        <f>HYPERLINK("http://www.ncbi.nlm.nih.gov/gene/7384","7384")</f>
        <v>7384</v>
      </c>
      <c r="B4425" s="1" t="s">
        <v>10296</v>
      </c>
      <c r="C4425" t="s">
        <v>10297</v>
      </c>
      <c r="D4425">
        <v>131.9</v>
      </c>
      <c r="E4425">
        <v>132.5</v>
      </c>
      <c r="F4425">
        <v>99.8</v>
      </c>
      <c r="G4425">
        <v>98.4</v>
      </c>
      <c r="H4425">
        <v>133.5</v>
      </c>
      <c r="I4425">
        <v>136.6</v>
      </c>
      <c r="J4425">
        <v>100</v>
      </c>
      <c r="K4425">
        <v>100</v>
      </c>
      <c r="L4425" s="1" t="s">
        <v>10296</v>
      </c>
      <c r="M4425" t="s">
        <v>10298</v>
      </c>
      <c r="N4425">
        <v>3</v>
      </c>
    </row>
    <row r="4426" spans="1:14" x14ac:dyDescent="0.25">
      <c r="A4426" s="3" t="str">
        <f>HYPERLINK("http://www.ncbi.nlm.nih.gov/gene/7385","7385")</f>
        <v>7385</v>
      </c>
      <c r="B4426" s="1" t="s">
        <v>10299</v>
      </c>
      <c r="C4426" t="s">
        <v>10300</v>
      </c>
      <c r="D4426">
        <v>129.4</v>
      </c>
      <c r="E4426">
        <v>133.30000000000001</v>
      </c>
      <c r="F4426">
        <v>99.9</v>
      </c>
      <c r="G4426">
        <v>99.3</v>
      </c>
      <c r="H4426">
        <v>139.30000000000001</v>
      </c>
      <c r="I4426">
        <v>142.4</v>
      </c>
      <c r="J4426">
        <v>100</v>
      </c>
      <c r="K4426">
        <v>100</v>
      </c>
      <c r="L4426" s="1" t="s">
        <v>10299</v>
      </c>
      <c r="M4426" t="s">
        <v>766</v>
      </c>
      <c r="N4426">
        <v>3</v>
      </c>
    </row>
    <row r="4427" spans="1:14" x14ac:dyDescent="0.25">
      <c r="A4427" s="3" t="str">
        <f>HYPERLINK("http://www.ncbi.nlm.nih.gov/gene/7386","7386")</f>
        <v>7386</v>
      </c>
      <c r="B4427" s="1" t="s">
        <v>10301</v>
      </c>
      <c r="C4427" t="s">
        <v>10302</v>
      </c>
      <c r="D4427">
        <v>124.6</v>
      </c>
      <c r="E4427">
        <v>121.6</v>
      </c>
      <c r="F4427">
        <v>91.9</v>
      </c>
      <c r="G4427">
        <v>84.9</v>
      </c>
      <c r="H4427">
        <v>146.80000000000001</v>
      </c>
      <c r="I4427">
        <v>151</v>
      </c>
      <c r="J4427">
        <v>100</v>
      </c>
      <c r="K4427">
        <v>100</v>
      </c>
      <c r="L4427" s="1" t="s">
        <v>10301</v>
      </c>
      <c r="M4427" t="s">
        <v>766</v>
      </c>
      <c r="N4427">
        <v>3</v>
      </c>
    </row>
    <row r="4428" spans="1:14" x14ac:dyDescent="0.25">
      <c r="A4428" s="3" t="str">
        <f>HYPERLINK("http://www.ncbi.nlm.nih.gov/gene/7388","7388")</f>
        <v>7388</v>
      </c>
      <c r="B4428" s="1" t="s">
        <v>10303</v>
      </c>
      <c r="C4428" t="s">
        <v>10304</v>
      </c>
      <c r="D4428">
        <v>133.1</v>
      </c>
      <c r="E4428">
        <v>135</v>
      </c>
      <c r="F4428">
        <v>100</v>
      </c>
      <c r="G4428">
        <v>98.2</v>
      </c>
      <c r="H4428">
        <v>179.8</v>
      </c>
      <c r="I4428">
        <v>184.1</v>
      </c>
      <c r="J4428">
        <v>100</v>
      </c>
      <c r="K4428">
        <v>100</v>
      </c>
      <c r="L4428" s="1" t="s">
        <v>10303</v>
      </c>
      <c r="M4428" t="s">
        <v>265</v>
      </c>
      <c r="N4428">
        <v>2</v>
      </c>
    </row>
    <row r="4429" spans="1:14" x14ac:dyDescent="0.25">
      <c r="A4429" s="3" t="str">
        <f>HYPERLINK("http://www.ncbi.nlm.nih.gov/gene/27089","27089")</f>
        <v>27089</v>
      </c>
      <c r="B4429" s="1" t="s">
        <v>10305</v>
      </c>
      <c r="C4429" t="s">
        <v>10306</v>
      </c>
      <c r="D4429">
        <v>142.9</v>
      </c>
      <c r="E4429">
        <v>146.80000000000001</v>
      </c>
      <c r="F4429">
        <v>100</v>
      </c>
      <c r="G4429">
        <v>100</v>
      </c>
      <c r="H4429">
        <v>133.1</v>
      </c>
      <c r="I4429">
        <v>137</v>
      </c>
      <c r="J4429">
        <v>100</v>
      </c>
      <c r="K4429">
        <v>100</v>
      </c>
      <c r="L4429" s="1" t="s">
        <v>10305</v>
      </c>
      <c r="M4429" t="s">
        <v>766</v>
      </c>
      <c r="N4429">
        <v>3</v>
      </c>
    </row>
    <row r="4430" spans="1:14" x14ac:dyDescent="0.25">
      <c r="A4430" s="3" t="str">
        <f>HYPERLINK("http://www.ncbi.nlm.nih.gov/gene/131669","131669")</f>
        <v>131669</v>
      </c>
      <c r="B4430" s="1" t="s">
        <v>10307</v>
      </c>
      <c r="C4430" t="s">
        <v>10308</v>
      </c>
      <c r="D4430">
        <v>144.9</v>
      </c>
      <c r="E4430">
        <v>149.69999999999999</v>
      </c>
      <c r="F4430">
        <v>100</v>
      </c>
      <c r="G4430">
        <v>100</v>
      </c>
      <c r="H4430">
        <v>140.5</v>
      </c>
      <c r="I4430">
        <v>143.9</v>
      </c>
      <c r="J4430">
        <v>100</v>
      </c>
      <c r="K4430">
        <v>100</v>
      </c>
      <c r="L4430" s="1" t="s">
        <v>10307</v>
      </c>
      <c r="M4430" t="s">
        <v>38</v>
      </c>
      <c r="N4430">
        <v>4</v>
      </c>
    </row>
    <row r="4431" spans="1:14" x14ac:dyDescent="0.25">
      <c r="A4431" s="3" t="str">
        <f>HYPERLINK("http://www.ncbi.nlm.nih.gov/gene/7389","7389")</f>
        <v>7389</v>
      </c>
      <c r="B4431" s="1" t="s">
        <v>10309</v>
      </c>
      <c r="C4431" t="s">
        <v>10310</v>
      </c>
      <c r="D4431">
        <v>154.1</v>
      </c>
      <c r="E4431">
        <v>158.6</v>
      </c>
      <c r="F4431">
        <v>98.9</v>
      </c>
      <c r="G4431">
        <v>96.1</v>
      </c>
      <c r="H4431">
        <v>148.80000000000001</v>
      </c>
      <c r="I4431">
        <v>152.4</v>
      </c>
      <c r="J4431">
        <v>100</v>
      </c>
      <c r="K4431">
        <v>100</v>
      </c>
      <c r="L4431" s="1" t="s">
        <v>10309</v>
      </c>
      <c r="M4431" t="s">
        <v>7303</v>
      </c>
      <c r="N4431">
        <v>4</v>
      </c>
    </row>
    <row r="4432" spans="1:14" x14ac:dyDescent="0.25">
      <c r="A4432" s="3" t="str">
        <f>HYPERLINK("http://www.ncbi.nlm.nih.gov/gene/7390","7390")</f>
        <v>7390</v>
      </c>
      <c r="B4432" s="1" t="s">
        <v>10311</v>
      </c>
      <c r="C4432" t="s">
        <v>10312</v>
      </c>
      <c r="D4432">
        <v>120.1</v>
      </c>
      <c r="E4432">
        <v>122</v>
      </c>
      <c r="F4432">
        <v>100</v>
      </c>
      <c r="G4432">
        <v>99.9</v>
      </c>
      <c r="H4432">
        <v>148.1</v>
      </c>
      <c r="I4432">
        <v>150.80000000000001</v>
      </c>
      <c r="J4432">
        <v>100</v>
      </c>
      <c r="K4432">
        <v>100</v>
      </c>
      <c r="L4432" s="1" t="s">
        <v>10311</v>
      </c>
      <c r="M4432" t="s">
        <v>10313</v>
      </c>
      <c r="N4432">
        <v>5</v>
      </c>
    </row>
    <row r="4433" spans="1:14" x14ac:dyDescent="0.25">
      <c r="A4433" s="3" t="str">
        <f>HYPERLINK("http://www.ncbi.nlm.nih.gov/gene/79650","79650")</f>
        <v>79650</v>
      </c>
      <c r="B4433" s="1" t="s">
        <v>10314</v>
      </c>
      <c r="C4433" t="s">
        <v>10315</v>
      </c>
      <c r="D4433">
        <v>134.6</v>
      </c>
      <c r="E4433">
        <v>139.6</v>
      </c>
      <c r="F4433">
        <v>100</v>
      </c>
      <c r="G4433">
        <v>99.4</v>
      </c>
      <c r="H4433">
        <v>138.5</v>
      </c>
      <c r="I4433">
        <v>142.1</v>
      </c>
      <c r="J4433">
        <v>100</v>
      </c>
      <c r="K4433">
        <v>100</v>
      </c>
      <c r="L4433" s="1" t="s">
        <v>10314</v>
      </c>
      <c r="M4433" t="s">
        <v>10316</v>
      </c>
      <c r="N4433">
        <v>7</v>
      </c>
    </row>
    <row r="4434" spans="1:14" x14ac:dyDescent="0.25">
      <c r="A4434" s="3" t="str">
        <f>HYPERLINK("http://www.ncbi.nlm.nih.gov/gene/10083","10083")</f>
        <v>10083</v>
      </c>
      <c r="B4434" s="1" t="s">
        <v>10317</v>
      </c>
      <c r="C4434" t="s">
        <v>10318</v>
      </c>
      <c r="D4434">
        <v>113.7</v>
      </c>
      <c r="E4434">
        <v>109.5</v>
      </c>
      <c r="F4434">
        <v>100</v>
      </c>
      <c r="G4434">
        <v>99.8</v>
      </c>
      <c r="H4434">
        <v>133.30000000000001</v>
      </c>
      <c r="I4434">
        <v>135.4</v>
      </c>
      <c r="J4434">
        <v>100</v>
      </c>
      <c r="K4434">
        <v>100</v>
      </c>
      <c r="L4434" s="1" t="s">
        <v>10317</v>
      </c>
      <c r="M4434" t="s">
        <v>780</v>
      </c>
      <c r="N4434">
        <v>4</v>
      </c>
    </row>
    <row r="4435" spans="1:14" x14ac:dyDescent="0.25">
      <c r="A4435" s="3" t="str">
        <f>HYPERLINK("http://www.ncbi.nlm.nih.gov/gene/124590","124590")</f>
        <v>124590</v>
      </c>
      <c r="B4435" s="1" t="s">
        <v>10319</v>
      </c>
      <c r="C4435" t="s">
        <v>10320</v>
      </c>
      <c r="D4435">
        <v>172.2</v>
      </c>
      <c r="E4435">
        <v>161</v>
      </c>
      <c r="F4435">
        <v>99.6</v>
      </c>
      <c r="G4435">
        <v>97.9</v>
      </c>
      <c r="H4435">
        <v>150.4</v>
      </c>
      <c r="I4435">
        <v>152</v>
      </c>
      <c r="J4435">
        <v>100</v>
      </c>
      <c r="K4435">
        <v>100</v>
      </c>
      <c r="L4435" s="1" t="s">
        <v>10319</v>
      </c>
      <c r="M4435" t="s">
        <v>780</v>
      </c>
      <c r="N4435">
        <v>4</v>
      </c>
    </row>
    <row r="4436" spans="1:14" x14ac:dyDescent="0.25">
      <c r="A4436" s="3" t="str">
        <f>HYPERLINK("http://www.ncbi.nlm.nih.gov/gene/7399","7399")</f>
        <v>7399</v>
      </c>
      <c r="B4436" s="1" t="s">
        <v>10321</v>
      </c>
      <c r="C4436" t="s">
        <v>10322</v>
      </c>
      <c r="D4436">
        <v>153.6</v>
      </c>
      <c r="E4436">
        <v>156.69999999999999</v>
      </c>
      <c r="F4436">
        <v>100</v>
      </c>
      <c r="G4436">
        <v>99.8</v>
      </c>
      <c r="H4436">
        <v>145.5</v>
      </c>
      <c r="I4436">
        <v>149.30000000000001</v>
      </c>
      <c r="J4436">
        <v>99.5</v>
      </c>
      <c r="K4436">
        <v>99.5</v>
      </c>
      <c r="L4436" s="1" t="s">
        <v>10321</v>
      </c>
      <c r="M4436" t="s">
        <v>780</v>
      </c>
      <c r="N4436">
        <v>4</v>
      </c>
    </row>
    <row r="4437" spans="1:14" x14ac:dyDescent="0.25">
      <c r="A4437" s="3" t="str">
        <f>HYPERLINK("http://www.ncbi.nlm.nih.gov/gene/11274","11274")</f>
        <v>11274</v>
      </c>
      <c r="B4437" s="1" t="s">
        <v>10323</v>
      </c>
      <c r="C4437" t="s">
        <v>10324</v>
      </c>
      <c r="D4437">
        <v>181.6</v>
      </c>
      <c r="E4437">
        <v>185.6</v>
      </c>
      <c r="F4437">
        <v>95.9</v>
      </c>
      <c r="G4437">
        <v>95.9</v>
      </c>
      <c r="H4437">
        <v>175.8</v>
      </c>
      <c r="I4437">
        <v>180.5</v>
      </c>
      <c r="J4437">
        <v>100</v>
      </c>
      <c r="K4437">
        <v>100</v>
      </c>
      <c r="L4437" s="1" t="s">
        <v>10323</v>
      </c>
      <c r="M4437" t="s">
        <v>1097</v>
      </c>
      <c r="N4437">
        <v>3</v>
      </c>
    </row>
    <row r="4438" spans="1:14" x14ac:dyDescent="0.25">
      <c r="A4438" s="3" t="str">
        <f>HYPERLINK("http://www.ncbi.nlm.nih.gov/gene/389856","389856")</f>
        <v>389856</v>
      </c>
      <c r="B4438" s="1" t="s">
        <v>10325</v>
      </c>
      <c r="C4438" t="s">
        <v>10326</v>
      </c>
      <c r="D4438">
        <v>178.4</v>
      </c>
      <c r="E4438">
        <v>187.6</v>
      </c>
      <c r="F4438">
        <v>100</v>
      </c>
      <c r="G4438">
        <v>100</v>
      </c>
      <c r="H4438">
        <v>162.1</v>
      </c>
      <c r="I4438">
        <v>164.5</v>
      </c>
      <c r="J4438">
        <v>100</v>
      </c>
      <c r="K4438">
        <v>100</v>
      </c>
      <c r="L4438" s="1" t="s">
        <v>10325</v>
      </c>
      <c r="M4438" t="s">
        <v>322</v>
      </c>
      <c r="N4438">
        <v>2</v>
      </c>
    </row>
    <row r="4439" spans="1:14" x14ac:dyDescent="0.25">
      <c r="A4439" s="3" t="str">
        <f>HYPERLINK("http://www.ncbi.nlm.nih.gov/gene/85015","85015")</f>
        <v>85015</v>
      </c>
      <c r="B4439" s="1" t="s">
        <v>10327</v>
      </c>
      <c r="C4439" t="s">
        <v>10328</v>
      </c>
      <c r="D4439">
        <v>113.1</v>
      </c>
      <c r="E4439">
        <v>120.3</v>
      </c>
      <c r="F4439">
        <v>99.6</v>
      </c>
      <c r="G4439">
        <v>98.1</v>
      </c>
      <c r="H4439">
        <v>127.1</v>
      </c>
      <c r="I4439">
        <v>130.4</v>
      </c>
      <c r="J4439">
        <v>100</v>
      </c>
      <c r="K4439">
        <v>100</v>
      </c>
      <c r="L4439" s="1" t="s">
        <v>10327</v>
      </c>
      <c r="M4439" t="s">
        <v>56</v>
      </c>
      <c r="N4439">
        <v>3</v>
      </c>
    </row>
    <row r="4440" spans="1:14" x14ac:dyDescent="0.25">
      <c r="A4440" s="3" t="str">
        <f>HYPERLINK("http://www.ncbi.nlm.nih.gov/gene/84196","84196")</f>
        <v>84196</v>
      </c>
      <c r="B4440" s="1" t="s">
        <v>10329</v>
      </c>
      <c r="C4440" t="s">
        <v>10330</v>
      </c>
      <c r="D4440">
        <v>158.19999999999999</v>
      </c>
      <c r="E4440">
        <v>163.5</v>
      </c>
      <c r="F4440">
        <v>99.9</v>
      </c>
      <c r="G4440">
        <v>99.3</v>
      </c>
      <c r="H4440">
        <v>142</v>
      </c>
      <c r="I4440">
        <v>146.5</v>
      </c>
      <c r="J4440">
        <v>100</v>
      </c>
      <c r="K4440">
        <v>100</v>
      </c>
      <c r="L4440" s="1" t="s">
        <v>10329</v>
      </c>
      <c r="M4440" t="s">
        <v>76</v>
      </c>
      <c r="N4440">
        <v>2</v>
      </c>
    </row>
    <row r="4441" spans="1:14" x14ac:dyDescent="0.25">
      <c r="A4441" s="3" t="str">
        <f>HYPERLINK("http://www.ncbi.nlm.nih.gov/gene/7874","7874")</f>
        <v>7874</v>
      </c>
      <c r="B4441" s="1" t="s">
        <v>10331</v>
      </c>
      <c r="C4441" t="s">
        <v>10332</v>
      </c>
      <c r="D4441">
        <v>98.4</v>
      </c>
      <c r="E4441">
        <v>100.3</v>
      </c>
      <c r="F4441">
        <v>91.3</v>
      </c>
      <c r="G4441">
        <v>87.9</v>
      </c>
      <c r="H4441">
        <v>134.6</v>
      </c>
      <c r="I4441">
        <v>137.80000000000001</v>
      </c>
      <c r="J4441">
        <v>94.8</v>
      </c>
      <c r="K4441">
        <v>94.8</v>
      </c>
      <c r="L4441" s="1" t="s">
        <v>10331</v>
      </c>
      <c r="M4441" t="s">
        <v>189</v>
      </c>
      <c r="N4441">
        <v>2</v>
      </c>
    </row>
    <row r="4442" spans="1:14" x14ac:dyDescent="0.25">
      <c r="A4442" s="3" t="str">
        <f>HYPERLINK("http://www.ncbi.nlm.nih.gov/gene/9101","9101")</f>
        <v>9101</v>
      </c>
      <c r="B4442" s="1" t="s">
        <v>10333</v>
      </c>
      <c r="C4442" t="s">
        <v>10334</v>
      </c>
      <c r="D4442">
        <v>79.099999999999994</v>
      </c>
      <c r="E4442">
        <v>78.2</v>
      </c>
      <c r="F4442">
        <v>96.9</v>
      </c>
      <c r="G4442">
        <v>87.8</v>
      </c>
      <c r="H4442">
        <v>125.6</v>
      </c>
      <c r="I4442">
        <v>129.1</v>
      </c>
      <c r="J4442">
        <v>100</v>
      </c>
      <c r="K4442">
        <v>100</v>
      </c>
      <c r="L4442" s="1" t="s">
        <v>10333</v>
      </c>
      <c r="M4442" t="s">
        <v>22</v>
      </c>
      <c r="N4442">
        <v>1</v>
      </c>
    </row>
    <row r="4443" spans="1:14" x14ac:dyDescent="0.25">
      <c r="A4443" s="3" t="str">
        <f>HYPERLINK("http://www.ncbi.nlm.nih.gov/gene/8239","8239")</f>
        <v>8239</v>
      </c>
      <c r="B4443" s="1" t="s">
        <v>10335</v>
      </c>
      <c r="C4443" t="s">
        <v>10336</v>
      </c>
      <c r="D4443">
        <v>110.1</v>
      </c>
      <c r="E4443">
        <v>109.6</v>
      </c>
      <c r="F4443">
        <v>98.2</v>
      </c>
      <c r="G4443">
        <v>92.9</v>
      </c>
      <c r="H4443">
        <v>122.1</v>
      </c>
      <c r="I4443">
        <v>125.9</v>
      </c>
      <c r="J4443">
        <v>100</v>
      </c>
      <c r="K4443">
        <v>100</v>
      </c>
      <c r="L4443" s="1" t="s">
        <v>10335</v>
      </c>
      <c r="M4443" t="s">
        <v>10337</v>
      </c>
      <c r="N4443">
        <v>3</v>
      </c>
    </row>
    <row r="4444" spans="1:14" x14ac:dyDescent="0.25">
      <c r="A4444" s="3" t="str">
        <f>HYPERLINK("http://www.ncbi.nlm.nih.gov/gene/8287","8287")</f>
        <v>8287</v>
      </c>
      <c r="B4444" s="1" t="s">
        <v>10338</v>
      </c>
      <c r="C4444" t="s">
        <v>10339</v>
      </c>
      <c r="D4444">
        <v>31.6</v>
      </c>
      <c r="E4444">
        <v>32.200000000000003</v>
      </c>
      <c r="F4444">
        <v>48.6</v>
      </c>
      <c r="G4444">
        <v>43.2</v>
      </c>
      <c r="H4444">
        <v>54.3</v>
      </c>
      <c r="I4444">
        <v>55.9</v>
      </c>
      <c r="J4444">
        <v>60</v>
      </c>
      <c r="K4444">
        <v>60</v>
      </c>
      <c r="L4444" s="1" t="s">
        <v>10338</v>
      </c>
      <c r="M4444" t="s">
        <v>22</v>
      </c>
      <c r="N4444">
        <v>1</v>
      </c>
    </row>
    <row r="4445" spans="1:14" x14ac:dyDescent="0.25">
      <c r="A4445" s="3" t="str">
        <f>HYPERLINK("http://www.ncbi.nlm.nih.gov/gene/10090","10090")</f>
        <v>10090</v>
      </c>
      <c r="B4445" s="1" t="s">
        <v>10340</v>
      </c>
      <c r="C4445" t="s">
        <v>10341</v>
      </c>
      <c r="D4445">
        <v>121.1</v>
      </c>
      <c r="E4445">
        <v>126.9</v>
      </c>
      <c r="F4445">
        <v>100</v>
      </c>
      <c r="G4445">
        <v>98.9</v>
      </c>
      <c r="H4445">
        <v>154.80000000000001</v>
      </c>
      <c r="I4445">
        <v>159.4</v>
      </c>
      <c r="J4445">
        <v>100</v>
      </c>
      <c r="K4445">
        <v>100</v>
      </c>
      <c r="L4445" s="1" t="s">
        <v>10340</v>
      </c>
      <c r="M4445" t="s">
        <v>661</v>
      </c>
      <c r="N4445">
        <v>2</v>
      </c>
    </row>
    <row r="4446" spans="1:14" x14ac:dyDescent="0.25">
      <c r="A4446" s="3" t="str">
        <f>HYPERLINK("http://www.ncbi.nlm.nih.gov/gene/57654","57654")</f>
        <v>57654</v>
      </c>
      <c r="B4446" s="1" t="s">
        <v>10342</v>
      </c>
      <c r="C4446" t="s">
        <v>10343</v>
      </c>
      <c r="D4446">
        <v>142</v>
      </c>
      <c r="E4446">
        <v>145.4</v>
      </c>
      <c r="F4446">
        <v>100</v>
      </c>
      <c r="G4446">
        <v>100</v>
      </c>
      <c r="H4446">
        <v>139.19999999999999</v>
      </c>
      <c r="I4446">
        <v>142.80000000000001</v>
      </c>
      <c r="J4446">
        <v>100</v>
      </c>
      <c r="K4446">
        <v>100</v>
      </c>
      <c r="L4446" s="1" t="s">
        <v>10342</v>
      </c>
      <c r="M4446" t="s">
        <v>246</v>
      </c>
      <c r="N4446">
        <v>3</v>
      </c>
    </row>
    <row r="4447" spans="1:14" x14ac:dyDescent="0.25">
      <c r="A4447" s="3" t="str">
        <f>HYPERLINK("http://www.ncbi.nlm.nih.gov/gene/55697","55697")</f>
        <v>55697</v>
      </c>
      <c r="B4447" s="1" t="s">
        <v>10344</v>
      </c>
      <c r="C4447" t="s">
        <v>10345</v>
      </c>
      <c r="D4447">
        <v>102</v>
      </c>
      <c r="E4447">
        <v>106.1</v>
      </c>
      <c r="F4447">
        <v>99.9</v>
      </c>
      <c r="G4447">
        <v>98.5</v>
      </c>
      <c r="H4447">
        <v>132.4</v>
      </c>
      <c r="I4447">
        <v>136.4</v>
      </c>
      <c r="J4447">
        <v>100</v>
      </c>
      <c r="K4447">
        <v>100</v>
      </c>
      <c r="L4447" s="1" t="s">
        <v>10344</v>
      </c>
      <c r="M4447" t="s">
        <v>1168</v>
      </c>
      <c r="N4447">
        <v>3</v>
      </c>
    </row>
    <row r="4448" spans="1:14" x14ac:dyDescent="0.25">
      <c r="A4448" s="3" t="str">
        <f>HYPERLINK("http://www.ncbi.nlm.nih.gov/gene/6843","6843")</f>
        <v>6843</v>
      </c>
      <c r="B4448" s="1" t="s">
        <v>10346</v>
      </c>
      <c r="C4448" t="s">
        <v>10347</v>
      </c>
      <c r="D4448">
        <v>146.19999999999999</v>
      </c>
      <c r="E4448">
        <v>153.19999999999999</v>
      </c>
      <c r="F4448">
        <v>100</v>
      </c>
      <c r="G4448">
        <v>100</v>
      </c>
      <c r="H4448">
        <v>118.5</v>
      </c>
      <c r="I4448">
        <v>121.8</v>
      </c>
      <c r="J4448">
        <v>100</v>
      </c>
      <c r="K4448">
        <v>100</v>
      </c>
      <c r="L4448" s="1" t="s">
        <v>10346</v>
      </c>
      <c r="M4448" t="s">
        <v>9171</v>
      </c>
      <c r="N4448">
        <v>4</v>
      </c>
    </row>
    <row r="4449" spans="1:14" x14ac:dyDescent="0.25">
      <c r="A4449" s="3" t="str">
        <f>HYPERLINK("http://www.ncbi.nlm.nih.gov/gene/6844","6844")</f>
        <v>6844</v>
      </c>
      <c r="B4449" s="1" t="s">
        <v>10348</v>
      </c>
      <c r="C4449" t="s">
        <v>10349</v>
      </c>
      <c r="D4449">
        <v>129.80000000000001</v>
      </c>
      <c r="E4449">
        <v>132</v>
      </c>
      <c r="F4449">
        <v>99.5</v>
      </c>
      <c r="G4449">
        <v>97.7</v>
      </c>
      <c r="H4449">
        <v>153.4</v>
      </c>
      <c r="I4449">
        <v>153.80000000000001</v>
      </c>
      <c r="J4449">
        <v>100</v>
      </c>
      <c r="K4449">
        <v>100</v>
      </c>
      <c r="L4449" s="1" t="s">
        <v>10348</v>
      </c>
      <c r="M4449" t="s">
        <v>189</v>
      </c>
      <c r="N4449">
        <v>2</v>
      </c>
    </row>
    <row r="4450" spans="1:14" x14ac:dyDescent="0.25">
      <c r="A4450" s="3" t="str">
        <f>HYPERLINK("http://www.ncbi.nlm.nih.gov/gene/81839","81839")</f>
        <v>81839</v>
      </c>
      <c r="B4450" s="1" t="s">
        <v>10350</v>
      </c>
      <c r="C4450" t="s">
        <v>10351</v>
      </c>
      <c r="D4450">
        <v>197.3</v>
      </c>
      <c r="E4450">
        <v>192.8</v>
      </c>
      <c r="F4450">
        <v>100</v>
      </c>
      <c r="G4450">
        <v>100</v>
      </c>
      <c r="H4450">
        <v>147.6</v>
      </c>
      <c r="I4450">
        <v>150.1</v>
      </c>
      <c r="J4450">
        <v>100</v>
      </c>
      <c r="K4450">
        <v>100</v>
      </c>
      <c r="L4450" s="1" t="s">
        <v>10350</v>
      </c>
      <c r="M4450" t="s">
        <v>285</v>
      </c>
      <c r="N4450">
        <v>1</v>
      </c>
    </row>
    <row r="4451" spans="1:14" x14ac:dyDescent="0.25">
      <c r="A4451" s="3" t="str">
        <f>HYPERLINK("http://www.ncbi.nlm.nih.gov/gene/57216","57216")</f>
        <v>57216</v>
      </c>
      <c r="B4451" s="1" t="s">
        <v>10352</v>
      </c>
      <c r="C4451" t="s">
        <v>10353</v>
      </c>
      <c r="D4451">
        <v>168.1</v>
      </c>
      <c r="E4451">
        <v>173.1</v>
      </c>
      <c r="F4451">
        <v>99.9</v>
      </c>
      <c r="G4451">
        <v>99</v>
      </c>
      <c r="H4451">
        <v>135</v>
      </c>
      <c r="I4451">
        <v>138.9</v>
      </c>
      <c r="J4451">
        <v>100</v>
      </c>
      <c r="K4451">
        <v>100</v>
      </c>
      <c r="L4451" s="1" t="s">
        <v>10352</v>
      </c>
      <c r="M4451" t="s">
        <v>285</v>
      </c>
      <c r="N4451">
        <v>1</v>
      </c>
    </row>
    <row r="4452" spans="1:14" x14ac:dyDescent="0.25">
      <c r="A4452" s="3" t="str">
        <f>HYPERLINK("http://www.ncbi.nlm.nih.gov/gene/9217","9217")</f>
        <v>9217</v>
      </c>
      <c r="B4452" s="1" t="s">
        <v>10354</v>
      </c>
      <c r="C4452" t="s">
        <v>10355</v>
      </c>
      <c r="D4452">
        <v>108.1</v>
      </c>
      <c r="E4452">
        <v>114.2</v>
      </c>
      <c r="F4452">
        <v>100</v>
      </c>
      <c r="G4452">
        <v>99.9</v>
      </c>
      <c r="H4452">
        <v>122.2</v>
      </c>
      <c r="I4452">
        <v>126.4</v>
      </c>
      <c r="J4452">
        <v>100</v>
      </c>
      <c r="K4452">
        <v>100</v>
      </c>
      <c r="L4452" s="1" t="s">
        <v>10354</v>
      </c>
      <c r="M4452" t="s">
        <v>617</v>
      </c>
      <c r="N4452">
        <v>2</v>
      </c>
    </row>
    <row r="4453" spans="1:14" x14ac:dyDescent="0.25">
      <c r="A4453" s="3" t="str">
        <f>HYPERLINK("http://www.ncbi.nlm.nih.gov/gene/7407","7407")</f>
        <v>7407</v>
      </c>
      <c r="B4453" s="1" t="s">
        <v>10356</v>
      </c>
      <c r="C4453" t="s">
        <v>10357</v>
      </c>
      <c r="D4453">
        <v>130.19999999999999</v>
      </c>
      <c r="E4453">
        <v>131.4</v>
      </c>
      <c r="F4453">
        <v>100</v>
      </c>
      <c r="G4453">
        <v>99.9</v>
      </c>
      <c r="H4453">
        <v>202.6</v>
      </c>
      <c r="I4453">
        <v>206</v>
      </c>
      <c r="J4453">
        <v>100</v>
      </c>
      <c r="K4453">
        <v>100</v>
      </c>
      <c r="L4453" s="1" t="s">
        <v>10356</v>
      </c>
      <c r="M4453" t="s">
        <v>228</v>
      </c>
      <c r="N4453">
        <v>3</v>
      </c>
    </row>
    <row r="4454" spans="1:14" x14ac:dyDescent="0.25">
      <c r="A4454" s="3" t="str">
        <f>HYPERLINK("http://www.ncbi.nlm.nih.gov/gene/57176","57176")</f>
        <v>57176</v>
      </c>
      <c r="B4454" s="1" t="s">
        <v>10358</v>
      </c>
      <c r="C4454" t="s">
        <v>10359</v>
      </c>
      <c r="D4454">
        <v>137.6</v>
      </c>
      <c r="E4454">
        <v>139.19999999999999</v>
      </c>
      <c r="F4454">
        <v>100</v>
      </c>
      <c r="G4454">
        <v>99.4</v>
      </c>
      <c r="H4454">
        <v>184.9</v>
      </c>
      <c r="I4454">
        <v>189.2</v>
      </c>
      <c r="J4454">
        <v>100</v>
      </c>
      <c r="K4454">
        <v>100</v>
      </c>
      <c r="L4454" s="1" t="s">
        <v>10358</v>
      </c>
      <c r="M4454" t="s">
        <v>5655</v>
      </c>
      <c r="N4454">
        <v>4</v>
      </c>
    </row>
    <row r="4455" spans="1:14" x14ac:dyDescent="0.25">
      <c r="A4455" s="3" t="str">
        <f>HYPERLINK("http://www.ncbi.nlm.nih.gov/gene/7409","7409")</f>
        <v>7409</v>
      </c>
      <c r="B4455" s="1" t="s">
        <v>10360</v>
      </c>
      <c r="C4455" t="s">
        <v>10361</v>
      </c>
      <c r="D4455">
        <v>102.9</v>
      </c>
      <c r="E4455">
        <v>105.9</v>
      </c>
      <c r="F4455">
        <v>98.5</v>
      </c>
      <c r="G4455">
        <v>97.1</v>
      </c>
      <c r="H4455">
        <v>118.1</v>
      </c>
      <c r="I4455">
        <v>120.3</v>
      </c>
      <c r="J4455">
        <v>97.1</v>
      </c>
      <c r="K4455">
        <v>97.1</v>
      </c>
      <c r="L4455" s="1" t="s">
        <v>10360</v>
      </c>
      <c r="M4455" t="s">
        <v>562</v>
      </c>
      <c r="N4455">
        <v>2</v>
      </c>
    </row>
    <row r="4456" spans="1:14" x14ac:dyDescent="0.25">
      <c r="A4456" s="3" t="str">
        <f>HYPERLINK("http://www.ncbi.nlm.nih.gov/gene/11023","11023")</f>
        <v>11023</v>
      </c>
      <c r="B4456" s="1" t="s">
        <v>10362</v>
      </c>
      <c r="C4456" t="s">
        <v>10363</v>
      </c>
      <c r="D4456">
        <v>89.6</v>
      </c>
      <c r="E4456">
        <v>97.2</v>
      </c>
      <c r="F4456">
        <v>97.5</v>
      </c>
      <c r="G4456">
        <v>91.5</v>
      </c>
      <c r="H4456">
        <v>109.3</v>
      </c>
      <c r="I4456">
        <v>117.7</v>
      </c>
      <c r="J4456">
        <v>95.7</v>
      </c>
      <c r="K4456">
        <v>91.7</v>
      </c>
      <c r="L4456" s="1" t="s">
        <v>10362</v>
      </c>
      <c r="M4456" t="s">
        <v>10364</v>
      </c>
      <c r="N4456">
        <v>4</v>
      </c>
    </row>
    <row r="4457" spans="1:14" x14ac:dyDescent="0.25">
      <c r="A4457" s="3" t="str">
        <f>HYPERLINK("http://www.ncbi.nlm.nih.gov/gene/1462","1462")</f>
        <v>1462</v>
      </c>
      <c r="B4457" s="1" t="s">
        <v>10365</v>
      </c>
      <c r="C4457" t="s">
        <v>10366</v>
      </c>
      <c r="D4457">
        <v>185.9</v>
      </c>
      <c r="E4457">
        <v>180.4</v>
      </c>
      <c r="F4457">
        <v>100</v>
      </c>
      <c r="G4457">
        <v>100</v>
      </c>
      <c r="H4457">
        <v>146.9</v>
      </c>
      <c r="I4457">
        <v>148.30000000000001</v>
      </c>
      <c r="J4457">
        <v>100</v>
      </c>
      <c r="K4457">
        <v>100</v>
      </c>
      <c r="L4457" s="1" t="s">
        <v>10365</v>
      </c>
      <c r="M4457" t="s">
        <v>10367</v>
      </c>
      <c r="N4457">
        <v>3</v>
      </c>
    </row>
    <row r="4458" spans="1:14" x14ac:dyDescent="0.25">
      <c r="A4458" s="3" t="str">
        <f>HYPERLINK("http://www.ncbi.nlm.nih.gov/gene/7414","7414")</f>
        <v>7414</v>
      </c>
      <c r="B4458" s="1" t="s">
        <v>10368</v>
      </c>
      <c r="C4458" t="s">
        <v>10369</v>
      </c>
      <c r="D4458">
        <v>104.1</v>
      </c>
      <c r="E4458">
        <v>109</v>
      </c>
      <c r="F4458">
        <v>99.9</v>
      </c>
      <c r="G4458">
        <v>99</v>
      </c>
      <c r="H4458">
        <v>122.9</v>
      </c>
      <c r="I4458">
        <v>126.7</v>
      </c>
      <c r="J4458">
        <v>100</v>
      </c>
      <c r="K4458">
        <v>100</v>
      </c>
      <c r="L4458" s="1" t="s">
        <v>10368</v>
      </c>
      <c r="M4458" t="s">
        <v>197</v>
      </c>
      <c r="N4458">
        <v>2</v>
      </c>
    </row>
    <row r="4459" spans="1:14" x14ac:dyDescent="0.25">
      <c r="A4459" s="3" t="str">
        <f>HYPERLINK("http://www.ncbi.nlm.nih.gov/gene/7415","7415")</f>
        <v>7415</v>
      </c>
      <c r="B4459" s="1" t="s">
        <v>10370</v>
      </c>
      <c r="C4459" t="s">
        <v>10371</v>
      </c>
      <c r="D4459">
        <v>118.5</v>
      </c>
      <c r="E4459">
        <v>122.7</v>
      </c>
      <c r="F4459">
        <v>100</v>
      </c>
      <c r="G4459">
        <v>99.2</v>
      </c>
      <c r="H4459">
        <v>141.5</v>
      </c>
      <c r="I4459">
        <v>145.19999999999999</v>
      </c>
      <c r="J4459">
        <v>100</v>
      </c>
      <c r="K4459">
        <v>100</v>
      </c>
      <c r="L4459" s="1" t="s">
        <v>10370</v>
      </c>
      <c r="M4459" t="s">
        <v>10372</v>
      </c>
      <c r="N4459">
        <v>5</v>
      </c>
    </row>
    <row r="4460" spans="1:14" x14ac:dyDescent="0.25">
      <c r="A4460" s="3" t="str">
        <f>HYPERLINK("http://www.ncbi.nlm.nih.gov/gene/7421","7421")</f>
        <v>7421</v>
      </c>
      <c r="B4460" s="1" t="s">
        <v>10373</v>
      </c>
      <c r="C4460" t="s">
        <v>10374</v>
      </c>
      <c r="D4460">
        <v>108.5</v>
      </c>
      <c r="E4460">
        <v>110</v>
      </c>
      <c r="F4460">
        <v>97.2</v>
      </c>
      <c r="G4460">
        <v>94.9</v>
      </c>
      <c r="H4460">
        <v>125.1</v>
      </c>
      <c r="I4460">
        <v>129.30000000000001</v>
      </c>
      <c r="J4460">
        <v>98.2</v>
      </c>
      <c r="K4460">
        <v>95.2</v>
      </c>
      <c r="L4460" s="1" t="s">
        <v>10373</v>
      </c>
      <c r="M4460" t="s">
        <v>10375</v>
      </c>
      <c r="N4460">
        <v>5</v>
      </c>
    </row>
    <row r="4461" spans="1:14" x14ac:dyDescent="0.25">
      <c r="A4461" s="3" t="str">
        <f>HYPERLINK("http://www.ncbi.nlm.nih.gov/gene/7424","7424")</f>
        <v>7424</v>
      </c>
      <c r="B4461" s="1" t="s">
        <v>10376</v>
      </c>
      <c r="C4461" t="s">
        <v>10377</v>
      </c>
      <c r="D4461">
        <v>164.8</v>
      </c>
      <c r="E4461">
        <v>170</v>
      </c>
      <c r="F4461">
        <v>100</v>
      </c>
      <c r="G4461">
        <v>100</v>
      </c>
      <c r="H4461">
        <v>130.30000000000001</v>
      </c>
      <c r="I4461">
        <v>133.80000000000001</v>
      </c>
      <c r="J4461">
        <v>100</v>
      </c>
      <c r="K4461">
        <v>100</v>
      </c>
      <c r="L4461" s="1" t="s">
        <v>10376</v>
      </c>
      <c r="M4461" t="s">
        <v>29</v>
      </c>
      <c r="N4461">
        <v>2</v>
      </c>
    </row>
    <row r="4462" spans="1:14" x14ac:dyDescent="0.25">
      <c r="A4462" s="3" t="str">
        <f>HYPERLINK("http://www.ncbi.nlm.nih.gov/gene/7428","7428")</f>
        <v>7428</v>
      </c>
      <c r="B4462" s="1" t="s">
        <v>10378</v>
      </c>
      <c r="C4462" t="s">
        <v>10379</v>
      </c>
      <c r="D4462">
        <v>137.6</v>
      </c>
      <c r="E4462">
        <v>141.30000000000001</v>
      </c>
      <c r="F4462">
        <v>96.3</v>
      </c>
      <c r="G4462">
        <v>91.4</v>
      </c>
      <c r="H4462">
        <v>130.80000000000001</v>
      </c>
      <c r="I4462">
        <v>131.6</v>
      </c>
      <c r="J4462">
        <v>100</v>
      </c>
      <c r="K4462">
        <v>100</v>
      </c>
      <c r="L4462" s="1" t="s">
        <v>10378</v>
      </c>
      <c r="M4462" t="s">
        <v>10380</v>
      </c>
      <c r="N4462">
        <v>5</v>
      </c>
    </row>
    <row r="4463" spans="1:14" x14ac:dyDescent="0.25">
      <c r="A4463" s="3" t="str">
        <f>HYPERLINK("http://www.ncbi.nlm.nih.gov/gene/7431","7431")</f>
        <v>7431</v>
      </c>
      <c r="B4463" s="1" t="s">
        <v>10381</v>
      </c>
      <c r="D4463">
        <v>112.6</v>
      </c>
      <c r="E4463">
        <v>121.9</v>
      </c>
      <c r="F4463">
        <v>99.3</v>
      </c>
      <c r="G4463">
        <v>97</v>
      </c>
      <c r="H4463">
        <v>145.4</v>
      </c>
      <c r="I4463">
        <v>148.1</v>
      </c>
      <c r="J4463">
        <v>100</v>
      </c>
      <c r="K4463">
        <v>100</v>
      </c>
      <c r="L4463" s="1" t="s">
        <v>10381</v>
      </c>
      <c r="M4463" t="s">
        <v>302</v>
      </c>
      <c r="N4463">
        <v>2</v>
      </c>
    </row>
    <row r="4464" spans="1:14" x14ac:dyDescent="0.25">
      <c r="A4464" s="3" t="str">
        <f>HYPERLINK("http://www.ncbi.nlm.nih.gov/gene/63894","63894")</f>
        <v>63894</v>
      </c>
      <c r="B4464" s="1" t="s">
        <v>10382</v>
      </c>
      <c r="C4464" t="s">
        <v>10383</v>
      </c>
      <c r="D4464">
        <v>132.19999999999999</v>
      </c>
      <c r="E4464">
        <v>133.80000000000001</v>
      </c>
      <c r="F4464">
        <v>100</v>
      </c>
      <c r="G4464">
        <v>100</v>
      </c>
      <c r="H4464">
        <v>123.5</v>
      </c>
      <c r="I4464">
        <v>125.6</v>
      </c>
      <c r="J4464">
        <v>100</v>
      </c>
      <c r="K4464">
        <v>100</v>
      </c>
      <c r="L4464" s="1" t="s">
        <v>10382</v>
      </c>
      <c r="M4464" t="s">
        <v>10384</v>
      </c>
      <c r="N4464">
        <v>7</v>
      </c>
    </row>
    <row r="4465" spans="1:14" x14ac:dyDescent="0.25">
      <c r="A4465" s="3" t="str">
        <f>HYPERLINK("http://www.ncbi.nlm.nih.gov/gene/79001","79001")</f>
        <v>79001</v>
      </c>
      <c r="B4465" s="1" t="s">
        <v>10385</v>
      </c>
      <c r="C4465" t="s">
        <v>10386</v>
      </c>
      <c r="D4465">
        <v>140.9</v>
      </c>
      <c r="E4465">
        <v>147.5</v>
      </c>
      <c r="F4465">
        <v>100</v>
      </c>
      <c r="G4465">
        <v>100</v>
      </c>
      <c r="H4465">
        <v>123.1</v>
      </c>
      <c r="I4465">
        <v>127.4</v>
      </c>
      <c r="J4465">
        <v>93</v>
      </c>
      <c r="K4465">
        <v>93</v>
      </c>
      <c r="L4465" s="1" t="s">
        <v>10385</v>
      </c>
      <c r="M4465" t="s">
        <v>10387</v>
      </c>
      <c r="N4465">
        <v>3</v>
      </c>
    </row>
    <row r="4466" spans="1:14" x14ac:dyDescent="0.25">
      <c r="A4466" s="3" t="str">
        <f>HYPERLINK("http://www.ncbi.nlm.nih.gov/gene/7436","7436")</f>
        <v>7436</v>
      </c>
      <c r="B4466" s="1" t="s">
        <v>10388</v>
      </c>
      <c r="C4466" t="s">
        <v>10389</v>
      </c>
      <c r="D4466">
        <v>154.1</v>
      </c>
      <c r="E4466">
        <v>157.4</v>
      </c>
      <c r="F4466">
        <v>100</v>
      </c>
      <c r="G4466">
        <v>99.8</v>
      </c>
      <c r="H4466">
        <v>139.30000000000001</v>
      </c>
      <c r="I4466">
        <v>143.6</v>
      </c>
      <c r="J4466">
        <v>100</v>
      </c>
      <c r="K4466">
        <v>100</v>
      </c>
      <c r="L4466" s="1" t="s">
        <v>10388</v>
      </c>
      <c r="M4466" t="s">
        <v>288</v>
      </c>
      <c r="N4466">
        <v>4</v>
      </c>
    </row>
    <row r="4467" spans="1:14" x14ac:dyDescent="0.25">
      <c r="A4467" s="3" t="str">
        <f>HYPERLINK("http://www.ncbi.nlm.nih.gov/gene/203547","203547")</f>
        <v>203547</v>
      </c>
      <c r="B4467" s="1" t="s">
        <v>10390</v>
      </c>
      <c r="C4467" t="s">
        <v>10391</v>
      </c>
      <c r="D4467">
        <v>86</v>
      </c>
      <c r="E4467">
        <v>89.1</v>
      </c>
      <c r="F4467">
        <v>99</v>
      </c>
      <c r="G4467">
        <v>94.6</v>
      </c>
      <c r="H4467">
        <v>92.5</v>
      </c>
      <c r="I4467">
        <v>94.8</v>
      </c>
      <c r="J4467">
        <v>100</v>
      </c>
      <c r="K4467">
        <v>98.6</v>
      </c>
      <c r="L4467" s="1" t="s">
        <v>10390</v>
      </c>
      <c r="M4467" t="s">
        <v>10392</v>
      </c>
      <c r="N4467">
        <v>3</v>
      </c>
    </row>
    <row r="4468" spans="1:14" x14ac:dyDescent="0.25">
      <c r="A4468" s="3" t="str">
        <f>HYPERLINK("http://www.ncbi.nlm.nih.gov/gene/55823","55823")</f>
        <v>55823</v>
      </c>
      <c r="B4468" s="1" t="s">
        <v>10393</v>
      </c>
      <c r="C4468" t="s">
        <v>10394</v>
      </c>
      <c r="D4468">
        <v>133.19999999999999</v>
      </c>
      <c r="E4468">
        <v>131.4</v>
      </c>
      <c r="F4468">
        <v>94.9</v>
      </c>
      <c r="G4468">
        <v>93.6</v>
      </c>
      <c r="H4468">
        <v>143.69999999999999</v>
      </c>
      <c r="I4468">
        <v>148.9</v>
      </c>
      <c r="J4468">
        <v>100</v>
      </c>
      <c r="K4468">
        <v>100</v>
      </c>
      <c r="L4468" s="1" t="s">
        <v>10393</v>
      </c>
      <c r="M4468" t="s">
        <v>548</v>
      </c>
      <c r="N4468">
        <v>5</v>
      </c>
    </row>
    <row r="4469" spans="1:14" x14ac:dyDescent="0.25">
      <c r="A4469" s="3" t="str">
        <f>HYPERLINK("http://www.ncbi.nlm.nih.gov/gene/23230","23230")</f>
        <v>23230</v>
      </c>
      <c r="B4469" s="1" t="s">
        <v>10395</v>
      </c>
      <c r="C4469" t="s">
        <v>10396</v>
      </c>
      <c r="D4469">
        <v>89.3</v>
      </c>
      <c r="E4469">
        <v>92.6</v>
      </c>
      <c r="F4469">
        <v>99.4</v>
      </c>
      <c r="G4469">
        <v>95.6</v>
      </c>
      <c r="H4469">
        <v>117.3</v>
      </c>
      <c r="I4469">
        <v>120.2</v>
      </c>
      <c r="J4469">
        <v>100</v>
      </c>
      <c r="K4469">
        <v>100</v>
      </c>
      <c r="L4469" s="1" t="s">
        <v>10395</v>
      </c>
      <c r="M4469" t="s">
        <v>6970</v>
      </c>
      <c r="N4469">
        <v>3</v>
      </c>
    </row>
    <row r="4470" spans="1:14" x14ac:dyDescent="0.25">
      <c r="A4470" s="3" t="str">
        <f>HYPERLINK("http://www.ncbi.nlm.nih.gov/gene/157680","157680")</f>
        <v>157680</v>
      </c>
      <c r="B4470" s="1" t="s">
        <v>10397</v>
      </c>
      <c r="C4470" t="s">
        <v>10398</v>
      </c>
      <c r="D4470">
        <v>158</v>
      </c>
      <c r="E4470">
        <v>163.9</v>
      </c>
      <c r="F4470">
        <v>99.5</v>
      </c>
      <c r="G4470">
        <v>98.2</v>
      </c>
      <c r="H4470">
        <v>126.5</v>
      </c>
      <c r="I4470">
        <v>130.1</v>
      </c>
      <c r="J4470">
        <v>99.5</v>
      </c>
      <c r="K4470">
        <v>99.4</v>
      </c>
      <c r="L4470" s="1" t="s">
        <v>10397</v>
      </c>
      <c r="M4470" t="s">
        <v>10399</v>
      </c>
      <c r="N4470">
        <v>7</v>
      </c>
    </row>
    <row r="4471" spans="1:14" x14ac:dyDescent="0.25">
      <c r="A4471" s="3" t="str">
        <f>HYPERLINK("http://www.ncbi.nlm.nih.gov/gene/54832","54832")</f>
        <v>54832</v>
      </c>
      <c r="B4471" s="1" t="s">
        <v>10400</v>
      </c>
      <c r="C4471" t="s">
        <v>10401</v>
      </c>
      <c r="D4471">
        <v>127.3</v>
      </c>
      <c r="E4471">
        <v>132.4</v>
      </c>
      <c r="F4471">
        <v>99.4</v>
      </c>
      <c r="G4471">
        <v>96.9</v>
      </c>
      <c r="H4471">
        <v>129.1</v>
      </c>
      <c r="I4471">
        <v>132.80000000000001</v>
      </c>
      <c r="J4471">
        <v>100</v>
      </c>
      <c r="K4471">
        <v>100</v>
      </c>
      <c r="L4471" s="1" t="s">
        <v>10400</v>
      </c>
      <c r="M4471" t="s">
        <v>2823</v>
      </c>
      <c r="N4471">
        <v>3</v>
      </c>
    </row>
    <row r="4472" spans="1:14" x14ac:dyDescent="0.25">
      <c r="A4472" s="3" t="str">
        <f>HYPERLINK("http://www.ncbi.nlm.nih.gov/gene/55187","55187")</f>
        <v>55187</v>
      </c>
      <c r="B4472" s="1" t="s">
        <v>10402</v>
      </c>
      <c r="C4472" t="s">
        <v>10403</v>
      </c>
      <c r="D4472">
        <v>167.1</v>
      </c>
      <c r="E4472">
        <v>171</v>
      </c>
      <c r="F4472">
        <v>100</v>
      </c>
      <c r="G4472">
        <v>99.7</v>
      </c>
      <c r="H4472">
        <v>128.4</v>
      </c>
      <c r="I4472">
        <v>131.6</v>
      </c>
      <c r="J4472">
        <v>100</v>
      </c>
      <c r="K4472">
        <v>100</v>
      </c>
      <c r="L4472" s="1" t="s">
        <v>10402</v>
      </c>
      <c r="M4472" t="s">
        <v>5655</v>
      </c>
      <c r="N4472">
        <v>4</v>
      </c>
    </row>
    <row r="4473" spans="1:14" x14ac:dyDescent="0.25">
      <c r="A4473" s="3" t="str">
        <f>HYPERLINK("http://www.ncbi.nlm.nih.gov/gene/64601","64601")</f>
        <v>64601</v>
      </c>
      <c r="B4473" s="1" t="s">
        <v>10404</v>
      </c>
      <c r="C4473" t="s">
        <v>10405</v>
      </c>
      <c r="D4473">
        <v>161.4</v>
      </c>
      <c r="E4473">
        <v>163.6</v>
      </c>
      <c r="F4473">
        <v>100</v>
      </c>
      <c r="G4473">
        <v>100</v>
      </c>
      <c r="H4473">
        <v>137.1</v>
      </c>
      <c r="I4473">
        <v>139.6</v>
      </c>
      <c r="J4473">
        <v>100</v>
      </c>
      <c r="K4473">
        <v>100</v>
      </c>
      <c r="L4473" s="1" t="s">
        <v>10404</v>
      </c>
      <c r="M4473" t="s">
        <v>600</v>
      </c>
      <c r="N4473">
        <v>2</v>
      </c>
    </row>
    <row r="4474" spans="1:14" x14ac:dyDescent="0.25">
      <c r="A4474" s="3" t="str">
        <f>HYPERLINK("http://www.ncbi.nlm.nih.gov/gene/65082","65082")</f>
        <v>65082</v>
      </c>
      <c r="B4474" s="1" t="s">
        <v>10406</v>
      </c>
      <c r="C4474" t="s">
        <v>10407</v>
      </c>
      <c r="D4474">
        <v>110.1</v>
      </c>
      <c r="E4474">
        <v>113.2</v>
      </c>
      <c r="F4474">
        <v>91.3</v>
      </c>
      <c r="G4474">
        <v>89.8</v>
      </c>
      <c r="H4474">
        <v>126.9</v>
      </c>
      <c r="I4474">
        <v>130.6</v>
      </c>
      <c r="J4474">
        <v>89.9</v>
      </c>
      <c r="K4474">
        <v>89.9</v>
      </c>
      <c r="L4474" s="1" t="s">
        <v>10406</v>
      </c>
      <c r="M4474" t="s">
        <v>351</v>
      </c>
      <c r="N4474">
        <v>4</v>
      </c>
    </row>
    <row r="4475" spans="1:14" x14ac:dyDescent="0.25">
      <c r="A4475" s="3" t="str">
        <f>HYPERLINK("http://www.ncbi.nlm.nih.gov/gene/26276","26276")</f>
        <v>26276</v>
      </c>
      <c r="B4475" s="1" t="s">
        <v>10408</v>
      </c>
      <c r="D4475">
        <v>126.3</v>
      </c>
      <c r="E4475">
        <v>128.1</v>
      </c>
      <c r="F4475">
        <v>100</v>
      </c>
      <c r="G4475">
        <v>100</v>
      </c>
      <c r="H4475">
        <v>124.6</v>
      </c>
      <c r="I4475">
        <v>126.5</v>
      </c>
      <c r="J4475">
        <v>100</v>
      </c>
      <c r="K4475">
        <v>100</v>
      </c>
      <c r="L4475" s="1" t="s">
        <v>10408</v>
      </c>
      <c r="M4475" t="s">
        <v>10409</v>
      </c>
      <c r="N4475">
        <v>7</v>
      </c>
    </row>
    <row r="4476" spans="1:14" x14ac:dyDescent="0.25">
      <c r="A4476" s="3" t="str">
        <f>HYPERLINK("http://www.ncbi.nlm.nih.gov/gene/55737","55737")</f>
        <v>55737</v>
      </c>
      <c r="B4476" s="1" t="s">
        <v>10410</v>
      </c>
      <c r="C4476" t="s">
        <v>10411</v>
      </c>
      <c r="D4476">
        <v>102.1</v>
      </c>
      <c r="E4476">
        <v>105.3</v>
      </c>
      <c r="F4476">
        <v>97.3</v>
      </c>
      <c r="G4476">
        <v>91.3</v>
      </c>
      <c r="H4476">
        <v>137.1</v>
      </c>
      <c r="I4476">
        <v>141.69999999999999</v>
      </c>
      <c r="J4476">
        <v>100</v>
      </c>
      <c r="K4476">
        <v>100</v>
      </c>
      <c r="L4476" s="1" t="s">
        <v>10410</v>
      </c>
      <c r="M4476" t="s">
        <v>5522</v>
      </c>
      <c r="N4476">
        <v>2</v>
      </c>
    </row>
    <row r="4477" spans="1:14" x14ac:dyDescent="0.25">
      <c r="A4477" s="3" t="str">
        <f>HYPERLINK("http://www.ncbi.nlm.nih.gov/gene/57020","57020")</f>
        <v>57020</v>
      </c>
      <c r="B4477" s="1" t="s">
        <v>10412</v>
      </c>
      <c r="C4477" t="s">
        <v>10413</v>
      </c>
      <c r="D4477">
        <v>158.19999999999999</v>
      </c>
      <c r="E4477">
        <v>162.69999999999999</v>
      </c>
      <c r="F4477">
        <v>100</v>
      </c>
      <c r="G4477">
        <v>99.9</v>
      </c>
      <c r="H4477">
        <v>138.80000000000001</v>
      </c>
      <c r="I4477">
        <v>142.5</v>
      </c>
      <c r="J4477">
        <v>100</v>
      </c>
      <c r="K4477">
        <v>100</v>
      </c>
      <c r="L4477" s="1" t="s">
        <v>10412</v>
      </c>
      <c r="M4477" t="s">
        <v>1487</v>
      </c>
      <c r="N4477">
        <v>2</v>
      </c>
    </row>
    <row r="4478" spans="1:14" x14ac:dyDescent="0.25">
      <c r="A4478" s="3" t="str">
        <f>HYPERLINK("http://www.ncbi.nlm.nih.gov/gene/137492","137492")</f>
        <v>137492</v>
      </c>
      <c r="B4478" s="1" t="s">
        <v>10414</v>
      </c>
      <c r="C4478" t="s">
        <v>10415</v>
      </c>
      <c r="D4478">
        <v>72.599999999999994</v>
      </c>
      <c r="E4478">
        <v>70.599999999999994</v>
      </c>
      <c r="F4478">
        <v>91.3</v>
      </c>
      <c r="G4478">
        <v>78.2</v>
      </c>
      <c r="H4478">
        <v>116.4</v>
      </c>
      <c r="I4478">
        <v>119.7</v>
      </c>
      <c r="J4478">
        <v>100</v>
      </c>
      <c r="K4478">
        <v>100</v>
      </c>
      <c r="L4478" s="1" t="s">
        <v>10414</v>
      </c>
      <c r="M4478" t="s">
        <v>288</v>
      </c>
      <c r="N4478">
        <v>4</v>
      </c>
    </row>
    <row r="4479" spans="1:14" x14ac:dyDescent="0.25">
      <c r="A4479" s="3" t="str">
        <f>HYPERLINK("http://www.ncbi.nlm.nih.gov/gene/11311","11311")</f>
        <v>11311</v>
      </c>
      <c r="B4479" s="1" t="s">
        <v>10416</v>
      </c>
      <c r="C4479" t="s">
        <v>10417</v>
      </c>
      <c r="D4479">
        <v>152.80000000000001</v>
      </c>
      <c r="E4479">
        <v>157.5</v>
      </c>
      <c r="F4479">
        <v>99.2</v>
      </c>
      <c r="G4479">
        <v>95.7</v>
      </c>
      <c r="H4479">
        <v>123.7</v>
      </c>
      <c r="I4479">
        <v>126.9</v>
      </c>
      <c r="J4479">
        <v>95.3</v>
      </c>
      <c r="K4479">
        <v>95.3</v>
      </c>
      <c r="L4479" s="1" t="s">
        <v>10416</v>
      </c>
      <c r="M4479" t="s">
        <v>4910</v>
      </c>
      <c r="N4479">
        <v>4</v>
      </c>
    </row>
    <row r="4480" spans="1:14" x14ac:dyDescent="0.25">
      <c r="A4480" s="3" t="str">
        <f>HYPERLINK("http://www.ncbi.nlm.nih.gov/gene/738","738")</f>
        <v>738</v>
      </c>
      <c r="B4480" s="1" t="s">
        <v>10418</v>
      </c>
      <c r="C4480" t="s">
        <v>10419</v>
      </c>
      <c r="D4480">
        <v>86.6</v>
      </c>
      <c r="E4480">
        <v>85.7</v>
      </c>
      <c r="F4480">
        <v>95</v>
      </c>
      <c r="G4480">
        <v>83.2</v>
      </c>
      <c r="H4480">
        <v>136.5</v>
      </c>
      <c r="I4480">
        <v>140.19999999999999</v>
      </c>
      <c r="J4480">
        <v>100</v>
      </c>
      <c r="K4480">
        <v>100</v>
      </c>
      <c r="L4480" s="1" t="s">
        <v>10418</v>
      </c>
      <c r="M4480" t="s">
        <v>53</v>
      </c>
      <c r="N4480">
        <v>2</v>
      </c>
    </row>
    <row r="4481" spans="1:14" x14ac:dyDescent="0.25">
      <c r="A4481" s="3" t="str">
        <f>HYPERLINK("http://www.ncbi.nlm.nih.gov/gene/55275","55275")</f>
        <v>55275</v>
      </c>
      <c r="B4481" s="1" t="s">
        <v>10420</v>
      </c>
      <c r="C4481" t="s">
        <v>10421</v>
      </c>
      <c r="D4481">
        <v>129.9</v>
      </c>
      <c r="E4481">
        <v>133.5</v>
      </c>
      <c r="F4481">
        <v>91.5</v>
      </c>
      <c r="G4481">
        <v>90.7</v>
      </c>
      <c r="H4481">
        <v>130.9</v>
      </c>
      <c r="I4481">
        <v>134.69999999999999</v>
      </c>
      <c r="J4481">
        <v>100</v>
      </c>
      <c r="K4481">
        <v>99.3</v>
      </c>
      <c r="L4481" s="1" t="s">
        <v>10420</v>
      </c>
      <c r="M4481" t="s">
        <v>548</v>
      </c>
      <c r="N4481">
        <v>5</v>
      </c>
    </row>
    <row r="4482" spans="1:14" x14ac:dyDescent="0.25">
      <c r="A4482" s="3" t="str">
        <f>HYPERLINK("http://www.ncbi.nlm.nih.gov/gene/7443","7443")</f>
        <v>7443</v>
      </c>
      <c r="B4482" s="1" t="s">
        <v>10422</v>
      </c>
      <c r="C4482" t="s">
        <v>10423</v>
      </c>
      <c r="D4482">
        <v>152</v>
      </c>
      <c r="E4482">
        <v>156.9</v>
      </c>
      <c r="F4482">
        <v>99.7</v>
      </c>
      <c r="G4482">
        <v>98.5</v>
      </c>
      <c r="H4482">
        <v>123.4</v>
      </c>
      <c r="I4482">
        <v>127.2</v>
      </c>
      <c r="J4482">
        <v>100</v>
      </c>
      <c r="K4482">
        <v>100</v>
      </c>
      <c r="L4482" s="1" t="s">
        <v>10422</v>
      </c>
      <c r="M4482" t="s">
        <v>10424</v>
      </c>
      <c r="N4482">
        <v>6</v>
      </c>
    </row>
    <row r="4483" spans="1:14" x14ac:dyDescent="0.25">
      <c r="A4483" s="3" t="str">
        <f>HYPERLINK("http://www.ncbi.nlm.nih.gov/gene/30813","30813")</f>
        <v>30813</v>
      </c>
      <c r="B4483" s="1" t="s">
        <v>10425</v>
      </c>
      <c r="C4483" t="s">
        <v>10426</v>
      </c>
      <c r="D4483">
        <v>70.2</v>
      </c>
      <c r="E4483">
        <v>69</v>
      </c>
      <c r="F4483">
        <v>84.7</v>
      </c>
      <c r="G4483">
        <v>80.5</v>
      </c>
      <c r="H4483">
        <v>139.19999999999999</v>
      </c>
      <c r="I4483">
        <v>143</v>
      </c>
      <c r="J4483">
        <v>100</v>
      </c>
      <c r="K4483">
        <v>100</v>
      </c>
      <c r="L4483" s="1" t="s">
        <v>10425</v>
      </c>
      <c r="M4483" t="s">
        <v>302</v>
      </c>
      <c r="N4483">
        <v>2</v>
      </c>
    </row>
    <row r="4484" spans="1:14" x14ac:dyDescent="0.25">
      <c r="A4484" s="3" t="str">
        <f>HYPERLINK("http://www.ncbi.nlm.nih.gov/gene/338917","338917")</f>
        <v>338917</v>
      </c>
      <c r="B4484" s="1" t="s">
        <v>10427</v>
      </c>
      <c r="C4484" t="s">
        <v>10428</v>
      </c>
      <c r="D4484">
        <v>98.9</v>
      </c>
      <c r="E4484">
        <v>100.3</v>
      </c>
      <c r="F4484">
        <v>100</v>
      </c>
      <c r="G4484">
        <v>99.3</v>
      </c>
      <c r="H4484">
        <v>124.2</v>
      </c>
      <c r="I4484">
        <v>126</v>
      </c>
      <c r="J4484">
        <v>100</v>
      </c>
      <c r="K4484">
        <v>100</v>
      </c>
      <c r="L4484" s="1" t="s">
        <v>10427</v>
      </c>
      <c r="M4484" t="s">
        <v>10429</v>
      </c>
      <c r="N4484">
        <v>3</v>
      </c>
    </row>
    <row r="4485" spans="1:14" x14ac:dyDescent="0.25">
      <c r="A4485" s="3" t="str">
        <f>HYPERLINK("http://www.ncbi.nlm.nih.gov/gene/64856","64856")</f>
        <v>64856</v>
      </c>
      <c r="B4485" s="1" t="s">
        <v>10430</v>
      </c>
      <c r="C4485" t="s">
        <v>10431</v>
      </c>
      <c r="D4485">
        <v>84.7</v>
      </c>
      <c r="E4485">
        <v>67</v>
      </c>
      <c r="F4485">
        <v>84.1</v>
      </c>
      <c r="G4485">
        <v>76.3</v>
      </c>
      <c r="H4485">
        <v>107.4</v>
      </c>
      <c r="I4485">
        <v>105.1</v>
      </c>
      <c r="J4485">
        <v>99.2</v>
      </c>
      <c r="K4485">
        <v>95.1</v>
      </c>
      <c r="L4485" s="1" t="s">
        <v>10430</v>
      </c>
      <c r="M4485" t="s">
        <v>725</v>
      </c>
      <c r="N4485">
        <v>2</v>
      </c>
    </row>
    <row r="4486" spans="1:14" x14ac:dyDescent="0.25">
      <c r="A4486" s="3" t="str">
        <f>HYPERLINK("http://www.ncbi.nlm.nih.gov/gene/200403","200403")</f>
        <v>200403</v>
      </c>
      <c r="B4486" s="1" t="s">
        <v>10432</v>
      </c>
      <c r="C4486" t="s">
        <v>10433</v>
      </c>
      <c r="D4486">
        <v>143.6</v>
      </c>
      <c r="E4486">
        <v>148.69999999999999</v>
      </c>
      <c r="F4486">
        <v>100</v>
      </c>
      <c r="G4486">
        <v>99.7</v>
      </c>
      <c r="H4486">
        <v>134.4</v>
      </c>
      <c r="I4486">
        <v>138.80000000000001</v>
      </c>
      <c r="J4486">
        <v>100</v>
      </c>
      <c r="K4486">
        <v>100</v>
      </c>
      <c r="L4486" s="1" t="s">
        <v>10432</v>
      </c>
      <c r="M4486" t="s">
        <v>228</v>
      </c>
      <c r="N4486">
        <v>3</v>
      </c>
    </row>
    <row r="4487" spans="1:14" x14ac:dyDescent="0.25">
      <c r="A4487" s="3" t="str">
        <f>HYPERLINK("http://www.ncbi.nlm.nih.gov/gene/7450","7450")</f>
        <v>7450</v>
      </c>
      <c r="B4487" s="1" t="s">
        <v>10434</v>
      </c>
      <c r="C4487" t="s">
        <v>10435</v>
      </c>
      <c r="D4487">
        <v>106.1</v>
      </c>
      <c r="E4487">
        <v>107.9</v>
      </c>
      <c r="F4487">
        <v>99.8</v>
      </c>
      <c r="G4487">
        <v>98.6</v>
      </c>
      <c r="H4487">
        <v>143.1</v>
      </c>
      <c r="I4487">
        <v>146.5</v>
      </c>
      <c r="J4487">
        <v>100</v>
      </c>
      <c r="K4487">
        <v>100</v>
      </c>
      <c r="L4487" s="1" t="s">
        <v>10434</v>
      </c>
      <c r="M4487" t="s">
        <v>3345</v>
      </c>
      <c r="N4487">
        <v>3</v>
      </c>
    </row>
    <row r="4488" spans="1:14" x14ac:dyDescent="0.25">
      <c r="A4488" s="3" t="str">
        <f>HYPERLINK("http://www.ncbi.nlm.nih.gov/gene/51322","51322")</f>
        <v>51322</v>
      </c>
      <c r="B4488" s="1" t="s">
        <v>10436</v>
      </c>
      <c r="C4488" t="s">
        <v>10437</v>
      </c>
      <c r="D4488">
        <v>168.3</v>
      </c>
      <c r="E4488">
        <v>174</v>
      </c>
      <c r="F4488">
        <v>100</v>
      </c>
      <c r="G4488">
        <v>99.7</v>
      </c>
      <c r="H4488">
        <v>131.30000000000001</v>
      </c>
      <c r="I4488">
        <v>135.30000000000001</v>
      </c>
      <c r="J4488">
        <v>100</v>
      </c>
      <c r="K4488">
        <v>100</v>
      </c>
      <c r="L4488" s="1" t="s">
        <v>10436</v>
      </c>
      <c r="M4488" t="s">
        <v>189</v>
      </c>
      <c r="N4488">
        <v>2</v>
      </c>
    </row>
    <row r="4489" spans="1:14" x14ac:dyDescent="0.25">
      <c r="A4489" s="3" t="str">
        <f>HYPERLINK("http://www.ncbi.nlm.nih.gov/gene/7453","7453")</f>
        <v>7453</v>
      </c>
      <c r="B4489" s="1" t="s">
        <v>10438</v>
      </c>
      <c r="C4489" t="s">
        <v>10439</v>
      </c>
      <c r="D4489">
        <v>116.5</v>
      </c>
      <c r="E4489">
        <v>121.4</v>
      </c>
      <c r="F4489">
        <v>99.8</v>
      </c>
      <c r="G4489">
        <v>98.3</v>
      </c>
      <c r="H4489">
        <v>114.3</v>
      </c>
      <c r="I4489">
        <v>117.8</v>
      </c>
      <c r="J4489">
        <v>100</v>
      </c>
      <c r="K4489">
        <v>100</v>
      </c>
      <c r="L4489" s="1" t="s">
        <v>10438</v>
      </c>
      <c r="M4489" t="s">
        <v>10440</v>
      </c>
      <c r="N4489">
        <v>2</v>
      </c>
    </row>
    <row r="4490" spans="1:14" x14ac:dyDescent="0.25">
      <c r="A4490" s="3" t="str">
        <f>HYPERLINK("http://www.ncbi.nlm.nih.gov/gene/10352","10352")</f>
        <v>10352</v>
      </c>
      <c r="B4490" s="1" t="s">
        <v>10441</v>
      </c>
      <c r="C4490" t="s">
        <v>10442</v>
      </c>
      <c r="D4490">
        <v>144.80000000000001</v>
      </c>
      <c r="E4490">
        <v>140.80000000000001</v>
      </c>
      <c r="F4490">
        <v>100</v>
      </c>
      <c r="G4490">
        <v>99.4</v>
      </c>
      <c r="H4490">
        <v>157.5</v>
      </c>
      <c r="I4490">
        <v>160.19999999999999</v>
      </c>
      <c r="J4490">
        <v>100</v>
      </c>
      <c r="K4490">
        <v>100</v>
      </c>
      <c r="L4490" s="1" t="s">
        <v>10441</v>
      </c>
      <c r="M4490" t="s">
        <v>830</v>
      </c>
      <c r="N4490">
        <v>4</v>
      </c>
    </row>
    <row r="4491" spans="1:14" x14ac:dyDescent="0.25">
      <c r="A4491" s="3" t="str">
        <f>HYPERLINK("http://www.ncbi.nlm.nih.gov/gene/7454","7454")</f>
        <v>7454</v>
      </c>
      <c r="B4491" s="1" t="s">
        <v>10443</v>
      </c>
      <c r="C4491" t="s">
        <v>10444</v>
      </c>
      <c r="D4491">
        <v>80.3</v>
      </c>
      <c r="E4491">
        <v>81.099999999999994</v>
      </c>
      <c r="F4491">
        <v>95.9</v>
      </c>
      <c r="G4491">
        <v>85.3</v>
      </c>
      <c r="H4491">
        <v>128.19999999999999</v>
      </c>
      <c r="I4491">
        <v>128.69999999999999</v>
      </c>
      <c r="J4491">
        <v>100</v>
      </c>
      <c r="K4491">
        <v>99.8</v>
      </c>
      <c r="L4491" s="1" t="s">
        <v>10443</v>
      </c>
      <c r="M4491" t="s">
        <v>10445</v>
      </c>
      <c r="N4491">
        <v>6</v>
      </c>
    </row>
    <row r="4492" spans="1:14" x14ac:dyDescent="0.25">
      <c r="A4492" s="3" t="str">
        <f>HYPERLINK("http://www.ncbi.nlm.nih.gov/gene/8936","8936")</f>
        <v>8936</v>
      </c>
      <c r="B4492" s="1" t="s">
        <v>10446</v>
      </c>
      <c r="C4492" t="s">
        <v>10447</v>
      </c>
      <c r="D4492">
        <v>101.4</v>
      </c>
      <c r="E4492">
        <v>104.3</v>
      </c>
      <c r="F4492">
        <v>99.9</v>
      </c>
      <c r="G4492">
        <v>96.5</v>
      </c>
      <c r="H4492">
        <v>144.19999999999999</v>
      </c>
      <c r="I4492">
        <v>148.5</v>
      </c>
      <c r="J4492">
        <v>100</v>
      </c>
      <c r="K4492">
        <v>100</v>
      </c>
      <c r="L4492" s="1" t="s">
        <v>10446</v>
      </c>
      <c r="M4492" t="s">
        <v>189</v>
      </c>
      <c r="N4492">
        <v>2</v>
      </c>
    </row>
    <row r="4493" spans="1:14" x14ac:dyDescent="0.25">
      <c r="A4493" s="3" t="str">
        <f>HYPERLINK("http://www.ncbi.nlm.nih.gov/gene/23325","23325")</f>
        <v>23325</v>
      </c>
      <c r="B4493" s="1" t="s">
        <v>10448</v>
      </c>
      <c r="C4493" t="s">
        <v>10449</v>
      </c>
      <c r="D4493">
        <v>126.4</v>
      </c>
      <c r="E4493">
        <v>130.6</v>
      </c>
      <c r="F4493">
        <v>99.1</v>
      </c>
      <c r="G4493">
        <v>95.5</v>
      </c>
      <c r="H4493">
        <v>114.4</v>
      </c>
      <c r="I4493">
        <v>117.3</v>
      </c>
      <c r="J4493">
        <v>100</v>
      </c>
      <c r="K4493">
        <v>100</v>
      </c>
      <c r="L4493" s="1" t="s">
        <v>10448</v>
      </c>
      <c r="M4493" t="s">
        <v>228</v>
      </c>
      <c r="N4493">
        <v>3</v>
      </c>
    </row>
    <row r="4494" spans="1:14" x14ac:dyDescent="0.25">
      <c r="A4494" s="3" t="str">
        <f>HYPERLINK("http://www.ncbi.nlm.nih.gov/gene/9897","9897")</f>
        <v>9897</v>
      </c>
      <c r="B4494" s="1" t="s">
        <v>10450</v>
      </c>
      <c r="C4494" t="s">
        <v>10451</v>
      </c>
      <c r="D4494">
        <v>158.9</v>
      </c>
      <c r="E4494">
        <v>164.8</v>
      </c>
      <c r="F4494">
        <v>100</v>
      </c>
      <c r="G4494">
        <v>99.8</v>
      </c>
      <c r="H4494">
        <v>123.3</v>
      </c>
      <c r="I4494">
        <v>127.2</v>
      </c>
      <c r="J4494">
        <v>100</v>
      </c>
      <c r="K4494">
        <v>100</v>
      </c>
      <c r="L4494" s="1" t="s">
        <v>10450</v>
      </c>
      <c r="M4494" t="s">
        <v>10452</v>
      </c>
      <c r="N4494">
        <v>4</v>
      </c>
    </row>
    <row r="4495" spans="1:14" x14ac:dyDescent="0.25">
      <c r="A4495" s="3" t="str">
        <f>HYPERLINK("http://www.ncbi.nlm.nih.gov/gene/23558","23558")</f>
        <v>23558</v>
      </c>
      <c r="B4495" s="1" t="s">
        <v>10453</v>
      </c>
      <c r="C4495" t="s">
        <v>10454</v>
      </c>
      <c r="D4495">
        <v>100</v>
      </c>
      <c r="E4495">
        <v>101.9</v>
      </c>
      <c r="F4495">
        <v>100</v>
      </c>
      <c r="G4495">
        <v>99.7</v>
      </c>
      <c r="H4495">
        <v>126.8</v>
      </c>
      <c r="I4495">
        <v>129.69999999999999</v>
      </c>
      <c r="J4495">
        <v>100</v>
      </c>
      <c r="K4495">
        <v>100</v>
      </c>
      <c r="L4495" s="1" t="s">
        <v>10453</v>
      </c>
      <c r="M4495" t="s">
        <v>269</v>
      </c>
      <c r="N4495">
        <v>3</v>
      </c>
    </row>
    <row r="4496" spans="1:14" x14ac:dyDescent="0.25">
      <c r="A4496" s="3" t="str">
        <f>HYPERLINK("http://www.ncbi.nlm.nih.gov/gene/23001","23001")</f>
        <v>23001</v>
      </c>
      <c r="B4496" s="1" t="s">
        <v>10455</v>
      </c>
      <c r="C4496" t="s">
        <v>10456</v>
      </c>
      <c r="D4496">
        <v>146.1</v>
      </c>
      <c r="E4496">
        <v>151.4</v>
      </c>
      <c r="F4496">
        <v>100</v>
      </c>
      <c r="G4496">
        <v>99.6</v>
      </c>
      <c r="H4496">
        <v>136.30000000000001</v>
      </c>
      <c r="I4496">
        <v>140.4</v>
      </c>
      <c r="J4496">
        <v>100</v>
      </c>
      <c r="K4496">
        <v>100</v>
      </c>
      <c r="L4496" s="1" t="s">
        <v>10455</v>
      </c>
      <c r="M4496" t="s">
        <v>189</v>
      </c>
      <c r="N4496">
        <v>2</v>
      </c>
    </row>
    <row r="4497" spans="1:14" x14ac:dyDescent="0.25">
      <c r="A4497" s="3" t="str">
        <f>HYPERLINK("http://www.ncbi.nlm.nih.gov/gene/51057","51057")</f>
        <v>51057</v>
      </c>
      <c r="B4497" s="1" t="s">
        <v>10457</v>
      </c>
      <c r="C4497" t="s">
        <v>10458</v>
      </c>
      <c r="D4497">
        <v>121.4</v>
      </c>
      <c r="E4497">
        <v>122.2</v>
      </c>
      <c r="F4497">
        <v>98.2</v>
      </c>
      <c r="G4497">
        <v>94.4</v>
      </c>
      <c r="H4497">
        <v>132.1</v>
      </c>
      <c r="I4497">
        <v>134.4</v>
      </c>
      <c r="J4497">
        <v>98.1</v>
      </c>
      <c r="K4497">
        <v>98.1</v>
      </c>
      <c r="L4497" s="1" t="s">
        <v>10457</v>
      </c>
      <c r="M4497" t="s">
        <v>10459</v>
      </c>
      <c r="N4497">
        <v>5</v>
      </c>
    </row>
    <row r="4498" spans="1:14" x14ac:dyDescent="0.25">
      <c r="A4498" s="3" t="str">
        <f>HYPERLINK("http://www.ncbi.nlm.nih.gov/gene/9948","9948")</f>
        <v>9948</v>
      </c>
      <c r="B4498" s="1" t="s">
        <v>10460</v>
      </c>
      <c r="C4498" t="s">
        <v>10461</v>
      </c>
      <c r="D4498">
        <v>111.3</v>
      </c>
      <c r="E4498">
        <v>116.9</v>
      </c>
      <c r="F4498">
        <v>100</v>
      </c>
      <c r="G4498">
        <v>99.6</v>
      </c>
      <c r="H4498">
        <v>145.69999999999999</v>
      </c>
      <c r="I4498">
        <v>150</v>
      </c>
      <c r="J4498">
        <v>100</v>
      </c>
      <c r="K4498">
        <v>100</v>
      </c>
      <c r="L4498" s="1" t="s">
        <v>10460</v>
      </c>
      <c r="M4498" t="s">
        <v>502</v>
      </c>
      <c r="N4498">
        <v>2</v>
      </c>
    </row>
    <row r="4499" spans="1:14" x14ac:dyDescent="0.25">
      <c r="A4499" s="3" t="str">
        <f>HYPERLINK("http://www.ncbi.nlm.nih.gov/gene/55717","55717")</f>
        <v>55717</v>
      </c>
      <c r="B4499" s="1" t="s">
        <v>10462</v>
      </c>
      <c r="C4499" t="s">
        <v>10463</v>
      </c>
      <c r="D4499">
        <v>134</v>
      </c>
      <c r="E4499">
        <v>139.6</v>
      </c>
      <c r="F4499">
        <v>98</v>
      </c>
      <c r="G4499">
        <v>96.5</v>
      </c>
      <c r="H4499">
        <v>135.80000000000001</v>
      </c>
      <c r="I4499">
        <v>139.4</v>
      </c>
      <c r="J4499">
        <v>100</v>
      </c>
      <c r="K4499">
        <v>100</v>
      </c>
      <c r="L4499" s="1" t="s">
        <v>10462</v>
      </c>
      <c r="M4499" t="s">
        <v>1011</v>
      </c>
      <c r="N4499">
        <v>3</v>
      </c>
    </row>
    <row r="4500" spans="1:14" x14ac:dyDescent="0.25">
      <c r="A4500" s="3" t="str">
        <f>HYPERLINK("http://www.ncbi.nlm.nih.gov/gene/64743","64743")</f>
        <v>64743</v>
      </c>
      <c r="B4500" s="1" t="s">
        <v>10464</v>
      </c>
      <c r="C4500" t="s">
        <v>10465</v>
      </c>
      <c r="D4500">
        <v>111.8</v>
      </c>
      <c r="E4500">
        <v>113.4</v>
      </c>
      <c r="F4500">
        <v>99.9</v>
      </c>
      <c r="G4500">
        <v>98.6</v>
      </c>
      <c r="H4500">
        <v>139.1</v>
      </c>
      <c r="I4500">
        <v>144.69999999999999</v>
      </c>
      <c r="J4500">
        <v>100</v>
      </c>
      <c r="K4500">
        <v>100</v>
      </c>
      <c r="L4500" s="1" t="s">
        <v>10464</v>
      </c>
      <c r="M4500" t="s">
        <v>728</v>
      </c>
      <c r="N4500">
        <v>2</v>
      </c>
    </row>
    <row r="4501" spans="1:14" x14ac:dyDescent="0.25">
      <c r="A4501" s="3" t="str">
        <f>HYPERLINK("http://www.ncbi.nlm.nih.gov/gene/57728","57728")</f>
        <v>57728</v>
      </c>
      <c r="B4501" s="1" t="s">
        <v>10466</v>
      </c>
      <c r="C4501" t="s">
        <v>10467</v>
      </c>
      <c r="D4501">
        <v>148.6</v>
      </c>
      <c r="E4501">
        <v>153.1</v>
      </c>
      <c r="F4501">
        <v>100</v>
      </c>
      <c r="G4501">
        <v>99.4</v>
      </c>
      <c r="H4501">
        <v>126.8</v>
      </c>
      <c r="I4501">
        <v>129.9</v>
      </c>
      <c r="J4501">
        <v>100</v>
      </c>
      <c r="K4501">
        <v>100</v>
      </c>
      <c r="L4501" s="1" t="s">
        <v>10466</v>
      </c>
      <c r="M4501" t="s">
        <v>10468</v>
      </c>
      <c r="N4501">
        <v>8</v>
      </c>
    </row>
    <row r="4502" spans="1:14" x14ac:dyDescent="0.25">
      <c r="A4502" s="3" t="str">
        <f>HYPERLINK("http://www.ncbi.nlm.nih.gov/gene/80232","80232")</f>
        <v>80232</v>
      </c>
      <c r="B4502" s="1" t="s">
        <v>10469</v>
      </c>
      <c r="C4502" t="s">
        <v>10470</v>
      </c>
      <c r="D4502">
        <v>100</v>
      </c>
      <c r="E4502">
        <v>96.8</v>
      </c>
      <c r="F4502">
        <v>88.7</v>
      </c>
      <c r="G4502">
        <v>83.9</v>
      </c>
      <c r="H4502">
        <v>125.2</v>
      </c>
      <c r="I4502">
        <v>129.80000000000001</v>
      </c>
      <c r="J4502">
        <v>94.2</v>
      </c>
      <c r="K4502">
        <v>91.7</v>
      </c>
      <c r="L4502" s="1" t="s">
        <v>10469</v>
      </c>
      <c r="M4502" t="s">
        <v>877</v>
      </c>
      <c r="N4502">
        <v>4</v>
      </c>
    </row>
    <row r="4503" spans="1:14" x14ac:dyDescent="0.25">
      <c r="A4503" s="3" t="str">
        <f>HYPERLINK("http://www.ncbi.nlm.nih.gov/gene/57539","57539")</f>
        <v>57539</v>
      </c>
      <c r="B4503" s="1" t="s">
        <v>10471</v>
      </c>
      <c r="C4503" t="s">
        <v>10472</v>
      </c>
      <c r="D4503">
        <v>166</v>
      </c>
      <c r="E4503">
        <v>172.4</v>
      </c>
      <c r="F4503">
        <v>99.8</v>
      </c>
      <c r="G4503">
        <v>98.9</v>
      </c>
      <c r="H4503">
        <v>137.69999999999999</v>
      </c>
      <c r="I4503">
        <v>141.69999999999999</v>
      </c>
      <c r="J4503">
        <v>100</v>
      </c>
      <c r="K4503">
        <v>100</v>
      </c>
      <c r="L4503" s="1" t="s">
        <v>10471</v>
      </c>
      <c r="M4503" t="s">
        <v>10473</v>
      </c>
      <c r="N4503">
        <v>8</v>
      </c>
    </row>
    <row r="4504" spans="1:14" x14ac:dyDescent="0.25">
      <c r="A4504" s="3" t="str">
        <f>HYPERLINK("http://www.ncbi.nlm.nih.gov/gene/134430","134430")</f>
        <v>134430</v>
      </c>
      <c r="B4504" s="1" t="s">
        <v>10474</v>
      </c>
      <c r="C4504" t="s">
        <v>10475</v>
      </c>
      <c r="D4504">
        <v>146.6</v>
      </c>
      <c r="E4504">
        <v>151.1</v>
      </c>
      <c r="F4504">
        <v>99.7</v>
      </c>
      <c r="G4504">
        <v>97.6</v>
      </c>
      <c r="H4504">
        <v>128.9</v>
      </c>
      <c r="I4504">
        <v>132.5</v>
      </c>
      <c r="J4504">
        <v>100</v>
      </c>
      <c r="K4504">
        <v>100</v>
      </c>
      <c r="L4504" s="1" t="s">
        <v>10474</v>
      </c>
      <c r="M4504" t="s">
        <v>793</v>
      </c>
      <c r="N4504">
        <v>2</v>
      </c>
    </row>
    <row r="4505" spans="1:14" x14ac:dyDescent="0.25">
      <c r="A4505" s="3" t="str">
        <f>HYPERLINK("http://www.ncbi.nlm.nih.gov/gene/22884","22884")</f>
        <v>22884</v>
      </c>
      <c r="B4505" s="1" t="s">
        <v>10476</v>
      </c>
      <c r="C4505" t="s">
        <v>10477</v>
      </c>
      <c r="D4505">
        <v>142.80000000000001</v>
      </c>
      <c r="E4505">
        <v>149</v>
      </c>
      <c r="F4505">
        <v>86.5</v>
      </c>
      <c r="G4505">
        <v>86.2</v>
      </c>
      <c r="H4505">
        <v>125</v>
      </c>
      <c r="I4505">
        <v>129.1</v>
      </c>
      <c r="J4505">
        <v>86.5</v>
      </c>
      <c r="K4505">
        <v>86.5</v>
      </c>
      <c r="L4505" s="1" t="s">
        <v>10476</v>
      </c>
      <c r="M4505" t="s">
        <v>189</v>
      </c>
      <c r="N4505">
        <v>2</v>
      </c>
    </row>
    <row r="4506" spans="1:14" x14ac:dyDescent="0.25">
      <c r="A4506" s="3" t="str">
        <f>HYPERLINK("http://www.ncbi.nlm.nih.gov/gene/10785","10785")</f>
        <v>10785</v>
      </c>
      <c r="B4506" s="1" t="s">
        <v>10478</v>
      </c>
      <c r="C4506" t="s">
        <v>10479</v>
      </c>
      <c r="D4506">
        <v>157.5</v>
      </c>
      <c r="E4506">
        <v>161.30000000000001</v>
      </c>
      <c r="F4506">
        <v>100</v>
      </c>
      <c r="G4506">
        <v>100</v>
      </c>
      <c r="H4506">
        <v>138.5</v>
      </c>
      <c r="I4506">
        <v>142.30000000000001</v>
      </c>
      <c r="J4506">
        <v>100</v>
      </c>
      <c r="K4506">
        <v>100</v>
      </c>
      <c r="L4506" s="1" t="s">
        <v>10478</v>
      </c>
      <c r="M4506" t="s">
        <v>228</v>
      </c>
      <c r="N4506">
        <v>3</v>
      </c>
    </row>
    <row r="4507" spans="1:14" x14ac:dyDescent="0.25">
      <c r="A4507" s="3" t="str">
        <f>HYPERLINK("http://www.ncbi.nlm.nih.gov/gene/11152","11152")</f>
        <v>11152</v>
      </c>
      <c r="B4507" s="1" t="s">
        <v>10480</v>
      </c>
      <c r="C4507" t="s">
        <v>10481</v>
      </c>
      <c r="D4507">
        <v>83.6</v>
      </c>
      <c r="E4507">
        <v>82.5</v>
      </c>
      <c r="F4507">
        <v>98.1</v>
      </c>
      <c r="G4507">
        <v>92.4</v>
      </c>
      <c r="H4507">
        <v>140.80000000000001</v>
      </c>
      <c r="I4507">
        <v>144</v>
      </c>
      <c r="J4507">
        <v>100</v>
      </c>
      <c r="K4507">
        <v>100</v>
      </c>
      <c r="L4507" s="1" t="s">
        <v>10480</v>
      </c>
      <c r="M4507" t="s">
        <v>10482</v>
      </c>
      <c r="N4507">
        <v>6</v>
      </c>
    </row>
    <row r="4508" spans="1:14" x14ac:dyDescent="0.25">
      <c r="A4508" s="3" t="str">
        <f>HYPERLINK("http://www.ncbi.nlm.nih.gov/gene/56270","56270")</f>
        <v>56270</v>
      </c>
      <c r="B4508" s="1" t="s">
        <v>10483</v>
      </c>
      <c r="C4508" t="s">
        <v>10484</v>
      </c>
      <c r="D4508">
        <v>80.8</v>
      </c>
      <c r="E4508">
        <v>80.8</v>
      </c>
      <c r="F4508">
        <v>98</v>
      </c>
      <c r="G4508">
        <v>89.2</v>
      </c>
      <c r="H4508">
        <v>122.9</v>
      </c>
      <c r="I4508">
        <v>125.5</v>
      </c>
      <c r="J4508">
        <v>100</v>
      </c>
      <c r="K4508">
        <v>100</v>
      </c>
      <c r="L4508" s="1" t="s">
        <v>10483</v>
      </c>
      <c r="M4508" t="s">
        <v>228</v>
      </c>
      <c r="N4508">
        <v>3</v>
      </c>
    </row>
    <row r="4509" spans="1:14" x14ac:dyDescent="0.25">
      <c r="A4509" s="3" t="str">
        <f>HYPERLINK("http://www.ncbi.nlm.nih.gov/gene/284403","284403")</f>
        <v>284403</v>
      </c>
      <c r="B4509" s="1" t="s">
        <v>10485</v>
      </c>
      <c r="C4509" t="s">
        <v>10486</v>
      </c>
      <c r="D4509">
        <v>150.80000000000001</v>
      </c>
      <c r="E4509">
        <v>157.6</v>
      </c>
      <c r="F4509">
        <v>100</v>
      </c>
      <c r="G4509">
        <v>99.5</v>
      </c>
      <c r="H4509">
        <v>146.69999999999999</v>
      </c>
      <c r="I4509">
        <v>149.80000000000001</v>
      </c>
      <c r="J4509">
        <v>100</v>
      </c>
      <c r="K4509">
        <v>100</v>
      </c>
      <c r="L4509" s="1" t="s">
        <v>10485</v>
      </c>
      <c r="M4509" t="s">
        <v>3620</v>
      </c>
      <c r="N4509">
        <v>4</v>
      </c>
    </row>
    <row r="4510" spans="1:14" x14ac:dyDescent="0.25">
      <c r="A4510" s="3" t="str">
        <f>HYPERLINK("http://www.ncbi.nlm.nih.gov/gene/256764","256764")</f>
        <v>256764</v>
      </c>
      <c r="B4510" s="1" t="s">
        <v>10487</v>
      </c>
      <c r="C4510" t="s">
        <v>10488</v>
      </c>
      <c r="D4510">
        <v>148.19999999999999</v>
      </c>
      <c r="E4510">
        <v>151.9</v>
      </c>
      <c r="F4510">
        <v>96.8</v>
      </c>
      <c r="G4510">
        <v>96.4</v>
      </c>
      <c r="H4510">
        <v>135.4</v>
      </c>
      <c r="I4510">
        <v>139.1</v>
      </c>
      <c r="J4510">
        <v>96.9</v>
      </c>
      <c r="K4510">
        <v>96.9</v>
      </c>
      <c r="L4510" s="1" t="s">
        <v>10487</v>
      </c>
      <c r="M4510" t="s">
        <v>4879</v>
      </c>
      <c r="N4510">
        <v>4</v>
      </c>
    </row>
    <row r="4511" spans="1:14" x14ac:dyDescent="0.25">
      <c r="A4511" s="3" t="str">
        <f>HYPERLINK("http://www.ncbi.nlm.nih.gov/gene/84942","84942")</f>
        <v>84942</v>
      </c>
      <c r="B4511" s="1" t="s">
        <v>10489</v>
      </c>
      <c r="C4511" t="s">
        <v>10490</v>
      </c>
      <c r="D4511">
        <v>171.3</v>
      </c>
      <c r="E4511">
        <v>180.8</v>
      </c>
      <c r="F4511">
        <v>100</v>
      </c>
      <c r="G4511">
        <v>100</v>
      </c>
      <c r="H4511">
        <v>131</v>
      </c>
      <c r="I4511">
        <v>135.19999999999999</v>
      </c>
      <c r="J4511">
        <v>100</v>
      </c>
      <c r="K4511">
        <v>100</v>
      </c>
      <c r="L4511" s="1" t="s">
        <v>10489</v>
      </c>
      <c r="M4511" t="s">
        <v>10491</v>
      </c>
      <c r="N4511">
        <v>5</v>
      </c>
    </row>
    <row r="4512" spans="1:14" x14ac:dyDescent="0.25">
      <c r="A4512" s="3" t="str">
        <f>HYPERLINK("http://www.ncbi.nlm.nih.gov/gene/124997","124997")</f>
        <v>124997</v>
      </c>
      <c r="B4512" s="1" t="s">
        <v>10492</v>
      </c>
      <c r="C4512" t="s">
        <v>10493</v>
      </c>
      <c r="D4512">
        <v>173.4</v>
      </c>
      <c r="E4512">
        <v>175.2</v>
      </c>
      <c r="F4512">
        <v>100</v>
      </c>
      <c r="G4512">
        <v>100</v>
      </c>
      <c r="H4512">
        <v>213.1</v>
      </c>
      <c r="I4512">
        <v>214.9</v>
      </c>
      <c r="J4512">
        <v>100</v>
      </c>
      <c r="K4512">
        <v>100</v>
      </c>
      <c r="L4512" s="1" t="s">
        <v>10492</v>
      </c>
      <c r="M4512" t="s">
        <v>288</v>
      </c>
      <c r="N4512">
        <v>4</v>
      </c>
    </row>
    <row r="4513" spans="1:14" x14ac:dyDescent="0.25">
      <c r="A4513" s="3" t="str">
        <f>HYPERLINK("http://www.ncbi.nlm.nih.gov/gene/494551","494551")</f>
        <v>494551</v>
      </c>
      <c r="B4513" s="1" t="s">
        <v>10494</v>
      </c>
      <c r="C4513" t="s">
        <v>10495</v>
      </c>
      <c r="D4513">
        <v>114.3</v>
      </c>
      <c r="E4513">
        <v>119</v>
      </c>
      <c r="F4513">
        <v>100</v>
      </c>
      <c r="G4513">
        <v>99.6</v>
      </c>
      <c r="H4513">
        <v>185.7</v>
      </c>
      <c r="I4513">
        <v>190.9</v>
      </c>
      <c r="J4513">
        <v>100</v>
      </c>
      <c r="K4513">
        <v>100</v>
      </c>
      <c r="L4513" s="1" t="s">
        <v>10494</v>
      </c>
      <c r="M4513" t="s">
        <v>53</v>
      </c>
      <c r="N4513">
        <v>2</v>
      </c>
    </row>
    <row r="4514" spans="1:14" x14ac:dyDescent="0.25">
      <c r="A4514" s="3" t="str">
        <f>HYPERLINK("http://www.ncbi.nlm.nih.gov/gene/7466","7466")</f>
        <v>7466</v>
      </c>
      <c r="B4514" s="1" t="s">
        <v>10496</v>
      </c>
      <c r="C4514" t="s">
        <v>10497</v>
      </c>
      <c r="D4514">
        <v>195.7</v>
      </c>
      <c r="E4514">
        <v>193</v>
      </c>
      <c r="F4514">
        <v>100</v>
      </c>
      <c r="G4514">
        <v>99.9</v>
      </c>
      <c r="H4514">
        <v>166</v>
      </c>
      <c r="I4514">
        <v>168.2</v>
      </c>
      <c r="J4514">
        <v>100</v>
      </c>
      <c r="K4514">
        <v>100</v>
      </c>
      <c r="L4514" s="1" t="s">
        <v>10496</v>
      </c>
      <c r="M4514" t="s">
        <v>10498</v>
      </c>
      <c r="N4514">
        <v>5</v>
      </c>
    </row>
    <row r="4515" spans="1:14" x14ac:dyDescent="0.25">
      <c r="A4515" s="3" t="str">
        <f>HYPERLINK("http://www.ncbi.nlm.nih.gov/gene/25861","25861")</f>
        <v>25861</v>
      </c>
      <c r="B4515" s="1" t="s">
        <v>10499</v>
      </c>
      <c r="C4515" t="s">
        <v>10500</v>
      </c>
      <c r="D4515">
        <v>128.80000000000001</v>
      </c>
      <c r="E4515">
        <v>126.9</v>
      </c>
      <c r="F4515">
        <v>99.8</v>
      </c>
      <c r="G4515">
        <v>98</v>
      </c>
      <c r="H4515">
        <v>147.80000000000001</v>
      </c>
      <c r="I4515">
        <v>152.30000000000001</v>
      </c>
      <c r="J4515">
        <v>100</v>
      </c>
      <c r="K4515">
        <v>100</v>
      </c>
      <c r="L4515" s="1" t="s">
        <v>10499</v>
      </c>
      <c r="M4515" t="s">
        <v>780</v>
      </c>
      <c r="N4515">
        <v>4</v>
      </c>
    </row>
    <row r="4516" spans="1:14" x14ac:dyDescent="0.25">
      <c r="A4516" s="3" t="str">
        <f>HYPERLINK("http://www.ncbi.nlm.nih.gov/gene/7456","7456")</f>
        <v>7456</v>
      </c>
      <c r="B4516" s="1" t="s">
        <v>10501</v>
      </c>
      <c r="C4516" t="s">
        <v>10502</v>
      </c>
      <c r="D4516">
        <v>122.8</v>
      </c>
      <c r="E4516">
        <v>111.8</v>
      </c>
      <c r="F4516">
        <v>100</v>
      </c>
      <c r="G4516">
        <v>99.9</v>
      </c>
      <c r="H4516">
        <v>153.1</v>
      </c>
      <c r="I4516">
        <v>155.4</v>
      </c>
      <c r="J4516">
        <v>100</v>
      </c>
      <c r="K4516">
        <v>100</v>
      </c>
      <c r="L4516" s="1" t="s">
        <v>10501</v>
      </c>
      <c r="M4516" t="s">
        <v>10503</v>
      </c>
      <c r="N4516">
        <v>5</v>
      </c>
    </row>
    <row r="4517" spans="1:14" x14ac:dyDescent="0.25">
      <c r="A4517" s="3" t="str">
        <f>HYPERLINK("http://www.ncbi.nlm.nih.gov/gene/26100","26100")</f>
        <v>26100</v>
      </c>
      <c r="B4517" s="1" t="s">
        <v>10504</v>
      </c>
      <c r="C4517" t="s">
        <v>10505</v>
      </c>
      <c r="D4517">
        <v>130.9</v>
      </c>
      <c r="E4517">
        <v>133.69999999999999</v>
      </c>
      <c r="F4517">
        <v>100</v>
      </c>
      <c r="G4517">
        <v>99.3</v>
      </c>
      <c r="H4517">
        <v>128.4</v>
      </c>
      <c r="I4517">
        <v>131.19999999999999</v>
      </c>
      <c r="J4517">
        <v>100</v>
      </c>
      <c r="K4517">
        <v>100</v>
      </c>
      <c r="L4517" s="1" t="s">
        <v>10504</v>
      </c>
      <c r="M4517" t="s">
        <v>53</v>
      </c>
      <c r="N4517">
        <v>2</v>
      </c>
    </row>
    <row r="4518" spans="1:14" x14ac:dyDescent="0.25">
      <c r="A4518" s="3" t="str">
        <f>HYPERLINK("http://www.ncbi.nlm.nih.gov/gene/65125","65125")</f>
        <v>65125</v>
      </c>
      <c r="B4518" s="1" t="s">
        <v>10506</v>
      </c>
      <c r="C4518" t="s">
        <v>10507</v>
      </c>
      <c r="D4518">
        <v>151.5</v>
      </c>
      <c r="E4518">
        <v>156.19999999999999</v>
      </c>
      <c r="F4518">
        <v>99.9</v>
      </c>
      <c r="G4518">
        <v>99.6</v>
      </c>
      <c r="H4518">
        <v>143.30000000000001</v>
      </c>
      <c r="I4518">
        <v>146</v>
      </c>
      <c r="J4518">
        <v>100</v>
      </c>
      <c r="K4518">
        <v>100</v>
      </c>
      <c r="L4518" s="1" t="s">
        <v>10506</v>
      </c>
      <c r="M4518" t="s">
        <v>10508</v>
      </c>
      <c r="N4518">
        <v>5</v>
      </c>
    </row>
    <row r="4519" spans="1:14" x14ac:dyDescent="0.25">
      <c r="A4519" s="3" t="str">
        <f>HYPERLINK("http://www.ncbi.nlm.nih.gov/gene/65266","65266")</f>
        <v>65266</v>
      </c>
      <c r="B4519" s="1" t="s">
        <v>10509</v>
      </c>
      <c r="C4519" t="s">
        <v>10510</v>
      </c>
      <c r="D4519">
        <v>150.69999999999999</v>
      </c>
      <c r="E4519">
        <v>149.5</v>
      </c>
      <c r="F4519">
        <v>99.9</v>
      </c>
      <c r="G4519">
        <v>99.3</v>
      </c>
      <c r="H4519">
        <v>154.19999999999999</v>
      </c>
      <c r="I4519">
        <v>155.19999999999999</v>
      </c>
      <c r="J4519">
        <v>100</v>
      </c>
      <c r="K4519">
        <v>100</v>
      </c>
      <c r="L4519" s="1" t="s">
        <v>10509</v>
      </c>
      <c r="M4519" t="s">
        <v>200</v>
      </c>
      <c r="N4519">
        <v>2</v>
      </c>
    </row>
    <row r="4520" spans="1:14" x14ac:dyDescent="0.25">
      <c r="A4520" s="3" t="str">
        <f>HYPERLINK("http://www.ncbi.nlm.nih.gov/gene/7471","7471")</f>
        <v>7471</v>
      </c>
      <c r="B4520" s="1" t="s">
        <v>10511</v>
      </c>
      <c r="C4520" t="s">
        <v>10512</v>
      </c>
      <c r="D4520">
        <v>192.7</v>
      </c>
      <c r="E4520">
        <v>207.7</v>
      </c>
      <c r="F4520">
        <v>99.3</v>
      </c>
      <c r="G4520">
        <v>95.3</v>
      </c>
      <c r="H4520">
        <v>131.69999999999999</v>
      </c>
      <c r="I4520">
        <v>133.5</v>
      </c>
      <c r="J4520">
        <v>100</v>
      </c>
      <c r="K4520">
        <v>100</v>
      </c>
      <c r="L4520" s="1" t="s">
        <v>10511</v>
      </c>
      <c r="M4520" t="s">
        <v>10513</v>
      </c>
      <c r="N4520">
        <v>4</v>
      </c>
    </row>
    <row r="4521" spans="1:14" x14ac:dyDescent="0.25">
      <c r="A4521" s="3" t="str">
        <f>HYPERLINK("http://www.ncbi.nlm.nih.gov/gene/80326","80326")</f>
        <v>80326</v>
      </c>
      <c r="B4521" s="1" t="s">
        <v>10514</v>
      </c>
      <c r="C4521" t="s">
        <v>10515</v>
      </c>
      <c r="D4521">
        <v>116.3</v>
      </c>
      <c r="E4521">
        <v>118.7</v>
      </c>
      <c r="F4521">
        <v>100</v>
      </c>
      <c r="G4521">
        <v>99.4</v>
      </c>
      <c r="H4521">
        <v>135.80000000000001</v>
      </c>
      <c r="I4521">
        <v>133</v>
      </c>
      <c r="J4521">
        <v>100</v>
      </c>
      <c r="K4521">
        <v>100</v>
      </c>
      <c r="L4521" s="1" t="s">
        <v>10514</v>
      </c>
      <c r="M4521" t="s">
        <v>10516</v>
      </c>
      <c r="N4521">
        <v>4</v>
      </c>
    </row>
    <row r="4522" spans="1:14" x14ac:dyDescent="0.25">
      <c r="A4522" s="3" t="str">
        <f>HYPERLINK("http://www.ncbi.nlm.nih.gov/gene/7480","7480")</f>
        <v>7480</v>
      </c>
      <c r="B4522" s="1" t="s">
        <v>10517</v>
      </c>
      <c r="C4522" t="s">
        <v>10518</v>
      </c>
      <c r="D4522">
        <v>144.9</v>
      </c>
      <c r="E4522">
        <v>144</v>
      </c>
      <c r="F4522">
        <v>100</v>
      </c>
      <c r="G4522">
        <v>99.4</v>
      </c>
      <c r="H4522">
        <v>156.30000000000001</v>
      </c>
      <c r="I4522">
        <v>163.1</v>
      </c>
      <c r="J4522">
        <v>100</v>
      </c>
      <c r="K4522">
        <v>100</v>
      </c>
      <c r="L4522" s="1" t="s">
        <v>10517</v>
      </c>
      <c r="M4522" t="s">
        <v>10519</v>
      </c>
      <c r="N4522">
        <v>5</v>
      </c>
    </row>
    <row r="4523" spans="1:14" x14ac:dyDescent="0.25">
      <c r="A4523" s="3" t="str">
        <f>HYPERLINK("http://www.ncbi.nlm.nih.gov/gene/7482","7482")</f>
        <v>7482</v>
      </c>
      <c r="B4523" s="1" t="s">
        <v>10520</v>
      </c>
      <c r="C4523" t="s">
        <v>10521</v>
      </c>
      <c r="D4523">
        <v>144.4</v>
      </c>
      <c r="E4523">
        <v>153</v>
      </c>
      <c r="F4523">
        <v>98</v>
      </c>
      <c r="G4523">
        <v>91.3</v>
      </c>
      <c r="H4523">
        <v>160</v>
      </c>
      <c r="I4523">
        <v>165.1</v>
      </c>
      <c r="J4523">
        <v>100</v>
      </c>
      <c r="K4523">
        <v>100</v>
      </c>
      <c r="L4523" s="1" t="s">
        <v>10520</v>
      </c>
      <c r="M4523" t="s">
        <v>59</v>
      </c>
      <c r="N4523">
        <v>1</v>
      </c>
    </row>
    <row r="4524" spans="1:14" x14ac:dyDescent="0.25">
      <c r="A4524" s="3" t="str">
        <f>HYPERLINK("http://www.ncbi.nlm.nih.gov/gene/7473","7473")</f>
        <v>7473</v>
      </c>
      <c r="B4524" s="1" t="s">
        <v>10522</v>
      </c>
      <c r="C4524" t="s">
        <v>10523</v>
      </c>
      <c r="D4524">
        <v>134.5</v>
      </c>
      <c r="E4524">
        <v>140.1</v>
      </c>
      <c r="F4524">
        <v>100</v>
      </c>
      <c r="G4524">
        <v>99.6</v>
      </c>
      <c r="H4524">
        <v>207.4</v>
      </c>
      <c r="I4524">
        <v>212.7</v>
      </c>
      <c r="J4524">
        <v>100</v>
      </c>
      <c r="K4524">
        <v>100</v>
      </c>
      <c r="L4524" s="1" t="s">
        <v>10522</v>
      </c>
      <c r="M4524" t="s">
        <v>1168</v>
      </c>
      <c r="N4524">
        <v>3</v>
      </c>
    </row>
    <row r="4525" spans="1:14" x14ac:dyDescent="0.25">
      <c r="A4525" s="3" t="str">
        <f>HYPERLINK("http://www.ncbi.nlm.nih.gov/gene/54361","54361")</f>
        <v>54361</v>
      </c>
      <c r="B4525" s="1" t="s">
        <v>10524</v>
      </c>
      <c r="C4525" t="s">
        <v>10525</v>
      </c>
      <c r="D4525">
        <v>186.8</v>
      </c>
      <c r="E4525">
        <v>200.3</v>
      </c>
      <c r="F4525">
        <v>99.1</v>
      </c>
      <c r="G4525">
        <v>94.8</v>
      </c>
      <c r="H4525">
        <v>150.69999999999999</v>
      </c>
      <c r="I4525">
        <v>155.19999999999999</v>
      </c>
      <c r="J4525">
        <v>98.9</v>
      </c>
      <c r="K4525">
        <v>96.2</v>
      </c>
      <c r="L4525" s="1" t="s">
        <v>10524</v>
      </c>
      <c r="M4525" t="s">
        <v>10526</v>
      </c>
      <c r="N4525">
        <v>5</v>
      </c>
    </row>
    <row r="4526" spans="1:14" x14ac:dyDescent="0.25">
      <c r="A4526" s="3" t="str">
        <f>HYPERLINK("http://www.ncbi.nlm.nih.gov/gene/7474","7474")</f>
        <v>7474</v>
      </c>
      <c r="B4526" s="1" t="s">
        <v>10527</v>
      </c>
      <c r="C4526" t="s">
        <v>10528</v>
      </c>
      <c r="D4526">
        <v>125.6</v>
      </c>
      <c r="E4526">
        <v>127</v>
      </c>
      <c r="F4526">
        <v>100</v>
      </c>
      <c r="G4526">
        <v>100</v>
      </c>
      <c r="H4526">
        <v>153.80000000000001</v>
      </c>
      <c r="I4526">
        <v>157.80000000000001</v>
      </c>
      <c r="J4526">
        <v>100</v>
      </c>
      <c r="K4526">
        <v>100</v>
      </c>
      <c r="L4526" s="1" t="s">
        <v>10527</v>
      </c>
      <c r="M4526" t="s">
        <v>10529</v>
      </c>
      <c r="N4526">
        <v>4</v>
      </c>
    </row>
    <row r="4527" spans="1:14" x14ac:dyDescent="0.25">
      <c r="A4527" s="3" t="str">
        <f>HYPERLINK("http://www.ncbi.nlm.nih.gov/gene/7475","7475")</f>
        <v>7475</v>
      </c>
      <c r="B4527" s="1" t="s">
        <v>10530</v>
      </c>
      <c r="D4527">
        <v>77.599999999999994</v>
      </c>
      <c r="E4527">
        <v>75.400000000000006</v>
      </c>
      <c r="F4527">
        <v>100</v>
      </c>
      <c r="G4527">
        <v>98.7</v>
      </c>
      <c r="H4527">
        <v>142</v>
      </c>
      <c r="I4527">
        <v>146.4</v>
      </c>
      <c r="J4527">
        <v>100</v>
      </c>
      <c r="K4527">
        <v>100</v>
      </c>
      <c r="L4527" s="1" t="s">
        <v>10530</v>
      </c>
      <c r="M4527" t="s">
        <v>1253</v>
      </c>
      <c r="N4527">
        <v>2</v>
      </c>
    </row>
    <row r="4528" spans="1:14" x14ac:dyDescent="0.25">
      <c r="A4528" s="3" t="str">
        <f>HYPERLINK("http://www.ncbi.nlm.nih.gov/gene/7476","7476")</f>
        <v>7476</v>
      </c>
      <c r="B4528" s="1" t="s">
        <v>10531</v>
      </c>
      <c r="C4528" t="s">
        <v>10532</v>
      </c>
      <c r="D4528">
        <v>177.4</v>
      </c>
      <c r="E4528">
        <v>184</v>
      </c>
      <c r="F4528">
        <v>100</v>
      </c>
      <c r="G4528">
        <v>100</v>
      </c>
      <c r="H4528">
        <v>171.1</v>
      </c>
      <c r="I4528">
        <v>177.8</v>
      </c>
      <c r="J4528">
        <v>100</v>
      </c>
      <c r="K4528">
        <v>100</v>
      </c>
      <c r="L4528" s="1" t="s">
        <v>10531</v>
      </c>
      <c r="M4528" t="s">
        <v>239</v>
      </c>
      <c r="N4528">
        <v>4</v>
      </c>
    </row>
    <row r="4529" spans="1:14" x14ac:dyDescent="0.25">
      <c r="A4529" s="3" t="str">
        <f>HYPERLINK("http://www.ncbi.nlm.nih.gov/gene/55135","55135")</f>
        <v>55135</v>
      </c>
      <c r="B4529" s="1" t="s">
        <v>10533</v>
      </c>
      <c r="C4529" t="s">
        <v>10534</v>
      </c>
      <c r="D4529">
        <v>194.4</v>
      </c>
      <c r="E4529">
        <v>187.5</v>
      </c>
      <c r="F4529">
        <v>100</v>
      </c>
      <c r="G4529">
        <v>100</v>
      </c>
      <c r="H4529">
        <v>156.69999999999999</v>
      </c>
      <c r="I4529">
        <v>161.19999999999999</v>
      </c>
      <c r="J4529">
        <v>100</v>
      </c>
      <c r="K4529">
        <v>100</v>
      </c>
      <c r="L4529" s="1" t="s">
        <v>10533</v>
      </c>
      <c r="M4529" t="s">
        <v>10316</v>
      </c>
      <c r="N4529">
        <v>7</v>
      </c>
    </row>
    <row r="4530" spans="1:14" x14ac:dyDescent="0.25">
      <c r="A4530" s="3" t="str">
        <f>HYPERLINK("http://www.ncbi.nlm.nih.gov/gene/7486","7486")</f>
        <v>7486</v>
      </c>
      <c r="B4530" s="1" t="s">
        <v>10535</v>
      </c>
      <c r="C4530" t="s">
        <v>10536</v>
      </c>
      <c r="D4530">
        <v>144.1</v>
      </c>
      <c r="E4530">
        <v>147.80000000000001</v>
      </c>
      <c r="F4530">
        <v>99.9</v>
      </c>
      <c r="G4530">
        <v>98.8</v>
      </c>
      <c r="H4530">
        <v>117</v>
      </c>
      <c r="I4530">
        <v>119.8</v>
      </c>
      <c r="J4530">
        <v>100</v>
      </c>
      <c r="K4530">
        <v>100</v>
      </c>
      <c r="L4530" s="1" t="s">
        <v>10535</v>
      </c>
      <c r="M4530" t="s">
        <v>10537</v>
      </c>
      <c r="N4530">
        <v>5</v>
      </c>
    </row>
    <row r="4531" spans="1:14" x14ac:dyDescent="0.25">
      <c r="A4531" s="3" t="str">
        <f>HYPERLINK("http://www.ncbi.nlm.nih.gov/gene/7490","7490")</f>
        <v>7490</v>
      </c>
      <c r="B4531" s="1" t="s">
        <v>10538</v>
      </c>
      <c r="C4531" t="s">
        <v>10539</v>
      </c>
      <c r="D4531">
        <v>82.9</v>
      </c>
      <c r="E4531">
        <v>81.099999999999994</v>
      </c>
      <c r="F4531">
        <v>97.3</v>
      </c>
      <c r="G4531">
        <v>95.4</v>
      </c>
      <c r="H4531">
        <v>131.19999999999999</v>
      </c>
      <c r="I4531">
        <v>133.5</v>
      </c>
      <c r="J4531">
        <v>97.7</v>
      </c>
      <c r="K4531">
        <v>97.7</v>
      </c>
      <c r="L4531" s="1" t="s">
        <v>10538</v>
      </c>
      <c r="M4531" t="s">
        <v>10540</v>
      </c>
      <c r="N4531">
        <v>4</v>
      </c>
    </row>
    <row r="4532" spans="1:14" x14ac:dyDescent="0.25">
      <c r="A4532" s="3" t="str">
        <f>HYPERLINK("http://www.ncbi.nlm.nih.gov/gene/51741","51741")</f>
        <v>51741</v>
      </c>
      <c r="B4532" s="1" t="s">
        <v>10541</v>
      </c>
      <c r="C4532" t="s">
        <v>10542</v>
      </c>
      <c r="D4532">
        <v>135</v>
      </c>
      <c r="E4532">
        <v>138.19999999999999</v>
      </c>
      <c r="F4532">
        <v>100</v>
      </c>
      <c r="G4532">
        <v>100</v>
      </c>
      <c r="H4532">
        <v>150.19999999999999</v>
      </c>
      <c r="I4532">
        <v>152.80000000000001</v>
      </c>
      <c r="J4532">
        <v>100</v>
      </c>
      <c r="K4532">
        <v>100</v>
      </c>
      <c r="L4532" s="1" t="s">
        <v>10541</v>
      </c>
      <c r="M4532" t="s">
        <v>548</v>
      </c>
      <c r="N4532">
        <v>5</v>
      </c>
    </row>
    <row r="4533" spans="1:14" x14ac:dyDescent="0.25">
      <c r="A4533" s="3" t="str">
        <f>HYPERLINK("http://www.ncbi.nlm.nih.gov/gene/7498","7498")</f>
        <v>7498</v>
      </c>
      <c r="B4533" s="1" t="s">
        <v>10543</v>
      </c>
      <c r="C4533" t="s">
        <v>10544</v>
      </c>
      <c r="D4533">
        <v>106</v>
      </c>
      <c r="E4533">
        <v>110.6</v>
      </c>
      <c r="F4533">
        <v>100</v>
      </c>
      <c r="G4533">
        <v>99.9</v>
      </c>
      <c r="H4533">
        <v>140</v>
      </c>
      <c r="I4533">
        <v>143.5</v>
      </c>
      <c r="J4533">
        <v>100</v>
      </c>
      <c r="K4533">
        <v>100</v>
      </c>
      <c r="L4533" s="1" t="s">
        <v>10543</v>
      </c>
      <c r="M4533" t="s">
        <v>365</v>
      </c>
      <c r="N4533">
        <v>4</v>
      </c>
    </row>
    <row r="4534" spans="1:14" x14ac:dyDescent="0.25">
      <c r="A4534" s="3" t="str">
        <f>HYPERLINK("http://www.ncbi.nlm.nih.gov/gene/331","331")</f>
        <v>331</v>
      </c>
      <c r="B4534" s="1" t="s">
        <v>10545</v>
      </c>
      <c r="C4534" t="s">
        <v>10546</v>
      </c>
      <c r="D4534">
        <v>94.1</v>
      </c>
      <c r="E4534">
        <v>100.4</v>
      </c>
      <c r="F4534">
        <v>93</v>
      </c>
      <c r="G4534">
        <v>88.8</v>
      </c>
      <c r="H4534">
        <v>133.1</v>
      </c>
      <c r="I4534">
        <v>136.1</v>
      </c>
      <c r="J4534">
        <v>100</v>
      </c>
      <c r="K4534">
        <v>100</v>
      </c>
      <c r="L4534" s="1" t="s">
        <v>10545</v>
      </c>
      <c r="M4534" t="s">
        <v>2480</v>
      </c>
      <c r="N4534">
        <v>2</v>
      </c>
    </row>
    <row r="4535" spans="1:14" x14ac:dyDescent="0.25">
      <c r="A4535" s="3" t="str">
        <f>HYPERLINK("http://www.ncbi.nlm.nih.gov/gene/129446","129446")</f>
        <v>129446</v>
      </c>
      <c r="B4535" s="1" t="s">
        <v>10547</v>
      </c>
      <c r="C4535" t="s">
        <v>10548</v>
      </c>
      <c r="D4535">
        <v>168.4</v>
      </c>
      <c r="E4535">
        <v>155.19999999999999</v>
      </c>
      <c r="F4535">
        <v>100</v>
      </c>
      <c r="G4535">
        <v>99.9</v>
      </c>
      <c r="H4535">
        <v>133.9</v>
      </c>
      <c r="I4535">
        <v>131.5</v>
      </c>
      <c r="J4535">
        <v>100</v>
      </c>
      <c r="K4535">
        <v>99.9</v>
      </c>
      <c r="L4535" s="1" t="s">
        <v>10547</v>
      </c>
      <c r="M4535" t="s">
        <v>197</v>
      </c>
      <c r="N4535">
        <v>2</v>
      </c>
    </row>
    <row r="4536" spans="1:14" x14ac:dyDescent="0.25">
      <c r="A4536" s="3" t="str">
        <f>HYPERLINK("http://www.ncbi.nlm.nih.gov/gene/7503","7503")</f>
        <v>7503</v>
      </c>
      <c r="B4536" s="1" t="s">
        <v>10549</v>
      </c>
      <c r="C4536" t="s">
        <v>10550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 s="1" t="s">
        <v>10549</v>
      </c>
      <c r="M4536" t="s">
        <v>22</v>
      </c>
      <c r="N4536">
        <v>1</v>
      </c>
    </row>
    <row r="4537" spans="1:14" x14ac:dyDescent="0.25">
      <c r="A4537" s="3" t="str">
        <f>HYPERLINK("http://www.ncbi.nlm.nih.gov/gene/7504","7504")</f>
        <v>7504</v>
      </c>
      <c r="B4537" s="1" t="s">
        <v>10551</v>
      </c>
      <c r="C4537" t="s">
        <v>10552</v>
      </c>
      <c r="D4537">
        <v>86.1</v>
      </c>
      <c r="E4537">
        <v>83</v>
      </c>
      <c r="F4537">
        <v>99.8</v>
      </c>
      <c r="G4537">
        <v>98.1</v>
      </c>
      <c r="H4537">
        <v>125.9</v>
      </c>
      <c r="I4537">
        <v>128.80000000000001</v>
      </c>
      <c r="J4537">
        <v>100</v>
      </c>
      <c r="K4537">
        <v>100</v>
      </c>
      <c r="L4537" s="1" t="s">
        <v>10551</v>
      </c>
      <c r="M4537" t="s">
        <v>10553</v>
      </c>
      <c r="N4537">
        <v>5</v>
      </c>
    </row>
    <row r="4538" spans="1:14" x14ac:dyDescent="0.25">
      <c r="A4538" s="3" t="str">
        <f>HYPERLINK("http://www.ncbi.nlm.nih.gov/gene/7507","7507")</f>
        <v>7507</v>
      </c>
      <c r="B4538" s="1" t="s">
        <v>10554</v>
      </c>
      <c r="C4538" t="s">
        <v>10555</v>
      </c>
      <c r="D4538">
        <v>79.400000000000006</v>
      </c>
      <c r="E4538">
        <v>83.7</v>
      </c>
      <c r="F4538">
        <v>99.6</v>
      </c>
      <c r="G4538">
        <v>95.6</v>
      </c>
      <c r="H4538">
        <v>135.6</v>
      </c>
      <c r="I4538">
        <v>139.6</v>
      </c>
      <c r="J4538">
        <v>100</v>
      </c>
      <c r="K4538">
        <v>100</v>
      </c>
      <c r="L4538" s="1" t="s">
        <v>10554</v>
      </c>
      <c r="M4538" t="s">
        <v>10556</v>
      </c>
      <c r="N4538">
        <v>5</v>
      </c>
    </row>
    <row r="4539" spans="1:14" x14ac:dyDescent="0.25">
      <c r="A4539" s="3" t="str">
        <f>HYPERLINK("http://www.ncbi.nlm.nih.gov/gene/7508","7508")</f>
        <v>7508</v>
      </c>
      <c r="B4539" s="1" t="s">
        <v>10557</v>
      </c>
      <c r="C4539" t="s">
        <v>10558</v>
      </c>
      <c r="D4539">
        <v>159.19999999999999</v>
      </c>
      <c r="E4539">
        <v>162.6</v>
      </c>
      <c r="F4539">
        <v>100</v>
      </c>
      <c r="G4539">
        <v>100</v>
      </c>
      <c r="H4539">
        <v>139.30000000000001</v>
      </c>
      <c r="I4539">
        <v>142.6</v>
      </c>
      <c r="J4539">
        <v>100</v>
      </c>
      <c r="K4539">
        <v>100</v>
      </c>
      <c r="L4539" s="1" t="s">
        <v>10557</v>
      </c>
      <c r="M4539" t="s">
        <v>2602</v>
      </c>
      <c r="N4539">
        <v>4</v>
      </c>
    </row>
    <row r="4540" spans="1:14" x14ac:dyDescent="0.25">
      <c r="A4540" s="3" t="str">
        <f>HYPERLINK("http://www.ncbi.nlm.nih.gov/gene/63929","63929")</f>
        <v>63929</v>
      </c>
      <c r="B4540" s="1" t="s">
        <v>10559</v>
      </c>
      <c r="C4540" t="s">
        <v>10560</v>
      </c>
      <c r="D4540">
        <v>120.8</v>
      </c>
      <c r="E4540">
        <v>124.2</v>
      </c>
      <c r="F4540">
        <v>100</v>
      </c>
      <c r="G4540">
        <v>100</v>
      </c>
      <c r="H4540">
        <v>141.6</v>
      </c>
      <c r="I4540">
        <v>146.69999999999999</v>
      </c>
      <c r="J4540">
        <v>100</v>
      </c>
      <c r="K4540">
        <v>100</v>
      </c>
      <c r="L4540" s="1" t="s">
        <v>10559</v>
      </c>
      <c r="M4540" t="s">
        <v>4959</v>
      </c>
      <c r="N4540">
        <v>4</v>
      </c>
    </row>
    <row r="4541" spans="1:14" x14ac:dyDescent="0.25">
      <c r="A4541" s="3" t="str">
        <f>HYPERLINK("http://www.ncbi.nlm.nih.gov/gene/57510","57510")</f>
        <v>57510</v>
      </c>
      <c r="B4541" s="1" t="s">
        <v>10561</v>
      </c>
      <c r="C4541" t="s">
        <v>10562</v>
      </c>
      <c r="D4541">
        <v>153.6</v>
      </c>
      <c r="E4541">
        <v>158.80000000000001</v>
      </c>
      <c r="F4541">
        <v>100</v>
      </c>
      <c r="G4541">
        <v>99.9</v>
      </c>
      <c r="H4541">
        <v>130.30000000000001</v>
      </c>
      <c r="I4541">
        <v>133.5</v>
      </c>
      <c r="J4541">
        <v>100</v>
      </c>
      <c r="K4541">
        <v>99.7</v>
      </c>
      <c r="L4541" s="1" t="s">
        <v>10561</v>
      </c>
      <c r="M4541" t="s">
        <v>998</v>
      </c>
      <c r="N4541">
        <v>2</v>
      </c>
    </row>
    <row r="4542" spans="1:14" x14ac:dyDescent="0.25">
      <c r="A4542" s="3" t="str">
        <f>HYPERLINK("http://www.ncbi.nlm.nih.gov/gene/9213","9213")</f>
        <v>9213</v>
      </c>
      <c r="B4542" s="1" t="s">
        <v>10563</v>
      </c>
      <c r="C4542" t="s">
        <v>10564</v>
      </c>
      <c r="D4542">
        <v>146.69999999999999</v>
      </c>
      <c r="E4542">
        <v>152.80000000000001</v>
      </c>
      <c r="F4542">
        <v>100</v>
      </c>
      <c r="G4542">
        <v>99.9</v>
      </c>
      <c r="H4542">
        <v>151.80000000000001</v>
      </c>
      <c r="I4542">
        <v>155.9</v>
      </c>
      <c r="J4542">
        <v>100</v>
      </c>
      <c r="K4542">
        <v>100</v>
      </c>
      <c r="L4542" s="1" t="s">
        <v>10563</v>
      </c>
      <c r="M4542" t="s">
        <v>8685</v>
      </c>
      <c r="N4542">
        <v>3</v>
      </c>
    </row>
    <row r="4543" spans="1:14" x14ac:dyDescent="0.25">
      <c r="A4543" s="3" t="str">
        <f>HYPERLINK("http://www.ncbi.nlm.nih.gov/gene/7515","7515")</f>
        <v>7515</v>
      </c>
      <c r="B4543" s="1" t="s">
        <v>10565</v>
      </c>
      <c r="C4543" t="s">
        <v>10566</v>
      </c>
      <c r="D4543">
        <v>128.69999999999999</v>
      </c>
      <c r="E4543">
        <v>130.5</v>
      </c>
      <c r="F4543">
        <v>100</v>
      </c>
      <c r="G4543">
        <v>98.8</v>
      </c>
      <c r="H4543">
        <v>145.6</v>
      </c>
      <c r="I4543">
        <v>148.80000000000001</v>
      </c>
      <c r="J4543">
        <v>100</v>
      </c>
      <c r="K4543">
        <v>100</v>
      </c>
      <c r="L4543" s="1" t="s">
        <v>10565</v>
      </c>
      <c r="M4543" t="s">
        <v>1541</v>
      </c>
      <c r="N4543">
        <v>4</v>
      </c>
    </row>
    <row r="4544" spans="1:14" x14ac:dyDescent="0.25">
      <c r="A4544" s="3" t="str">
        <f>HYPERLINK("http://www.ncbi.nlm.nih.gov/gene/7516","7516")</f>
        <v>7516</v>
      </c>
      <c r="B4544" s="1" t="s">
        <v>10567</v>
      </c>
      <c r="C4544" t="s">
        <v>10568</v>
      </c>
      <c r="D4544">
        <v>193.8</v>
      </c>
      <c r="E4544">
        <v>205.8</v>
      </c>
      <c r="F4544">
        <v>99.8</v>
      </c>
      <c r="G4544">
        <v>97.4</v>
      </c>
      <c r="H4544">
        <v>137.69999999999999</v>
      </c>
      <c r="I4544">
        <v>141.19999999999999</v>
      </c>
      <c r="J4544">
        <v>100</v>
      </c>
      <c r="K4544">
        <v>100</v>
      </c>
      <c r="L4544" s="1" t="s">
        <v>10567</v>
      </c>
      <c r="M4544" t="s">
        <v>10569</v>
      </c>
      <c r="N4544">
        <v>4</v>
      </c>
    </row>
    <row r="4545" spans="1:14" x14ac:dyDescent="0.25">
      <c r="A4545" s="3" t="str">
        <f>HYPERLINK("http://www.ncbi.nlm.nih.gov/gene/7518","7518")</f>
        <v>7518</v>
      </c>
      <c r="B4545" s="1" t="s">
        <v>10570</v>
      </c>
      <c r="C4545" t="s">
        <v>10571</v>
      </c>
      <c r="D4545">
        <v>158.69999999999999</v>
      </c>
      <c r="E4545">
        <v>165.8</v>
      </c>
      <c r="F4545">
        <v>99.9</v>
      </c>
      <c r="G4545">
        <v>99.3</v>
      </c>
      <c r="H4545">
        <v>120.3</v>
      </c>
      <c r="I4545">
        <v>123.7</v>
      </c>
      <c r="J4545">
        <v>100</v>
      </c>
      <c r="K4545">
        <v>100</v>
      </c>
      <c r="L4545" s="1" t="s">
        <v>10570</v>
      </c>
      <c r="M4545" t="s">
        <v>656</v>
      </c>
      <c r="N4545">
        <v>4</v>
      </c>
    </row>
    <row r="4546" spans="1:14" x14ac:dyDescent="0.25">
      <c r="A4546" s="3" t="str">
        <f>HYPERLINK("http://www.ncbi.nlm.nih.gov/gene/64131","64131")</f>
        <v>64131</v>
      </c>
      <c r="B4546" s="1" t="s">
        <v>10572</v>
      </c>
      <c r="C4546" t="s">
        <v>10573</v>
      </c>
      <c r="D4546">
        <v>140</v>
      </c>
      <c r="E4546">
        <v>148</v>
      </c>
      <c r="F4546">
        <v>97.4</v>
      </c>
      <c r="G4546">
        <v>89.6</v>
      </c>
      <c r="H4546">
        <v>142.80000000000001</v>
      </c>
      <c r="I4546">
        <v>146.19999999999999</v>
      </c>
      <c r="J4546">
        <v>98.1</v>
      </c>
      <c r="K4546">
        <v>94.8</v>
      </c>
      <c r="L4546" s="1" t="s">
        <v>10572</v>
      </c>
      <c r="M4546" t="s">
        <v>1022</v>
      </c>
      <c r="N4546">
        <v>7</v>
      </c>
    </row>
    <row r="4547" spans="1:14" x14ac:dyDescent="0.25">
      <c r="A4547" s="3" t="str">
        <f>HYPERLINK("http://www.ncbi.nlm.nih.gov/gene/64132","64132")</f>
        <v>64132</v>
      </c>
      <c r="B4547" s="1" t="s">
        <v>10574</v>
      </c>
      <c r="C4547" t="s">
        <v>10575</v>
      </c>
      <c r="D4547">
        <v>141.19999999999999</v>
      </c>
      <c r="E4547">
        <v>149.80000000000001</v>
      </c>
      <c r="F4547">
        <v>100</v>
      </c>
      <c r="G4547">
        <v>98.3</v>
      </c>
      <c r="H4547">
        <v>158.80000000000001</v>
      </c>
      <c r="I4547">
        <v>162.5</v>
      </c>
      <c r="J4547">
        <v>96.7</v>
      </c>
      <c r="K4547">
        <v>96.7</v>
      </c>
      <c r="L4547" s="1" t="s">
        <v>10574</v>
      </c>
      <c r="M4547" t="s">
        <v>1898</v>
      </c>
      <c r="N4547">
        <v>6</v>
      </c>
    </row>
    <row r="4548" spans="1:14" x14ac:dyDescent="0.25">
      <c r="A4548" s="3" t="str">
        <f>HYPERLINK("http://www.ncbi.nlm.nih.gov/gene/10413","10413")</f>
        <v>10413</v>
      </c>
      <c r="B4548" s="1" t="s">
        <v>10576</v>
      </c>
      <c r="C4548" t="s">
        <v>10577</v>
      </c>
      <c r="D4548">
        <v>119.2</v>
      </c>
      <c r="E4548">
        <v>106.6</v>
      </c>
      <c r="F4548">
        <v>96.4</v>
      </c>
      <c r="G4548">
        <v>89.4</v>
      </c>
      <c r="H4548">
        <v>126.3</v>
      </c>
      <c r="I4548">
        <v>129.30000000000001</v>
      </c>
      <c r="J4548">
        <v>100</v>
      </c>
      <c r="K4548">
        <v>100</v>
      </c>
      <c r="L4548" s="1" t="s">
        <v>10576</v>
      </c>
      <c r="M4548" t="s">
        <v>10163</v>
      </c>
      <c r="N4548">
        <v>3</v>
      </c>
    </row>
    <row r="4549" spans="1:14" x14ac:dyDescent="0.25">
      <c r="A4549" s="3" t="str">
        <f>HYPERLINK("http://www.ncbi.nlm.nih.gov/gene/8565","8565")</f>
        <v>8565</v>
      </c>
      <c r="B4549" s="1" t="s">
        <v>10578</v>
      </c>
      <c r="C4549" t="s">
        <v>10579</v>
      </c>
      <c r="D4549">
        <v>125.7</v>
      </c>
      <c r="E4549">
        <v>131.1</v>
      </c>
      <c r="F4549">
        <v>100</v>
      </c>
      <c r="G4549">
        <v>99.9</v>
      </c>
      <c r="H4549">
        <v>147.9</v>
      </c>
      <c r="I4549">
        <v>152.1</v>
      </c>
      <c r="J4549">
        <v>100</v>
      </c>
      <c r="K4549">
        <v>100</v>
      </c>
      <c r="L4549" s="1" t="s">
        <v>10578</v>
      </c>
      <c r="M4549" t="s">
        <v>718</v>
      </c>
      <c r="N4549">
        <v>2</v>
      </c>
    </row>
    <row r="4550" spans="1:14" x14ac:dyDescent="0.25">
      <c r="A4550" s="3" t="str">
        <f>HYPERLINK("http://www.ncbi.nlm.nih.gov/gene/51067","51067")</f>
        <v>51067</v>
      </c>
      <c r="B4550" s="1" t="s">
        <v>10580</v>
      </c>
      <c r="C4550" t="s">
        <v>10581</v>
      </c>
      <c r="D4550">
        <v>207.9</v>
      </c>
      <c r="E4550">
        <v>194.6</v>
      </c>
      <c r="F4550">
        <v>100</v>
      </c>
      <c r="G4550">
        <v>99.8</v>
      </c>
      <c r="H4550">
        <v>151.9</v>
      </c>
      <c r="I4550">
        <v>155.4</v>
      </c>
      <c r="J4550">
        <v>100</v>
      </c>
      <c r="K4550">
        <v>100</v>
      </c>
      <c r="L4550" s="1" t="s">
        <v>10580</v>
      </c>
      <c r="M4550" t="s">
        <v>10582</v>
      </c>
      <c r="N4550">
        <v>6</v>
      </c>
    </row>
    <row r="4551" spans="1:14" x14ac:dyDescent="0.25">
      <c r="A4551" s="3" t="str">
        <f>HYPERLINK("http://www.ncbi.nlm.nih.gov/gene/10730","10730")</f>
        <v>10730</v>
      </c>
      <c r="B4551" s="1" t="s">
        <v>10583</v>
      </c>
      <c r="C4551" t="s">
        <v>10584</v>
      </c>
      <c r="D4551">
        <v>126.4</v>
      </c>
      <c r="E4551">
        <v>133.4</v>
      </c>
      <c r="F4551">
        <v>99</v>
      </c>
      <c r="G4551">
        <v>95.2</v>
      </c>
      <c r="H4551">
        <v>139.19999999999999</v>
      </c>
      <c r="I4551">
        <v>143.5</v>
      </c>
      <c r="J4551">
        <v>100</v>
      </c>
      <c r="K4551">
        <v>100</v>
      </c>
      <c r="L4551" s="1" t="s">
        <v>10583</v>
      </c>
      <c r="M4551" t="s">
        <v>8266</v>
      </c>
      <c r="N4551">
        <v>5</v>
      </c>
    </row>
    <row r="4552" spans="1:14" x14ac:dyDescent="0.25">
      <c r="A4552" s="3" t="str">
        <f>HYPERLINK("http://www.ncbi.nlm.nih.gov/gene/7531","7531")</f>
        <v>7531</v>
      </c>
      <c r="B4552" s="1" t="s">
        <v>10585</v>
      </c>
      <c r="C4552" t="s">
        <v>10586</v>
      </c>
      <c r="D4552">
        <v>159.30000000000001</v>
      </c>
      <c r="E4552">
        <v>161.6</v>
      </c>
      <c r="F4552">
        <v>100</v>
      </c>
      <c r="G4552">
        <v>100</v>
      </c>
      <c r="H4552">
        <v>163.1</v>
      </c>
      <c r="I4552">
        <v>167.7</v>
      </c>
      <c r="J4552">
        <v>100</v>
      </c>
      <c r="K4552">
        <v>100</v>
      </c>
      <c r="L4552" s="1" t="s">
        <v>10585</v>
      </c>
      <c r="M4552" t="s">
        <v>189</v>
      </c>
      <c r="N4552">
        <v>2</v>
      </c>
    </row>
    <row r="4553" spans="1:14" x14ac:dyDescent="0.25">
      <c r="A4553" s="3" t="str">
        <f>HYPERLINK("http://www.ncbi.nlm.nih.gov/gene/7532","7532")</f>
        <v>7532</v>
      </c>
      <c r="B4553" s="1" t="s">
        <v>10587</v>
      </c>
      <c r="C4553" t="s">
        <v>10588</v>
      </c>
      <c r="D4553">
        <v>209.2</v>
      </c>
      <c r="E4553">
        <v>212.8</v>
      </c>
      <c r="F4553">
        <v>100</v>
      </c>
      <c r="G4553">
        <v>100</v>
      </c>
      <c r="H4553">
        <v>180.5</v>
      </c>
      <c r="I4553">
        <v>188</v>
      </c>
      <c r="J4553">
        <v>100</v>
      </c>
      <c r="K4553">
        <v>100</v>
      </c>
      <c r="L4553" s="1" t="s">
        <v>10587</v>
      </c>
      <c r="M4553" t="s">
        <v>995</v>
      </c>
      <c r="N4553">
        <v>3</v>
      </c>
    </row>
    <row r="4554" spans="1:14" x14ac:dyDescent="0.25">
      <c r="A4554" s="3" t="str">
        <f>HYPERLINK("http://www.ncbi.nlm.nih.gov/gene/7534","7534")</f>
        <v>7534</v>
      </c>
      <c r="B4554" s="1" t="s">
        <v>10589</v>
      </c>
      <c r="C4554" t="s">
        <v>10590</v>
      </c>
      <c r="D4554">
        <v>64.099999999999994</v>
      </c>
      <c r="E4554">
        <v>58.3</v>
      </c>
      <c r="F4554">
        <v>81.2</v>
      </c>
      <c r="G4554">
        <v>71.7</v>
      </c>
      <c r="H4554">
        <v>145.30000000000001</v>
      </c>
      <c r="I4554">
        <v>150.1</v>
      </c>
      <c r="J4554">
        <v>100</v>
      </c>
      <c r="K4554">
        <v>100</v>
      </c>
      <c r="L4554" s="1" t="s">
        <v>10589</v>
      </c>
      <c r="M4554" t="s">
        <v>29</v>
      </c>
      <c r="N4554">
        <v>2</v>
      </c>
    </row>
    <row r="4555" spans="1:14" x14ac:dyDescent="0.25">
      <c r="A4555" s="3" t="str">
        <f>HYPERLINK("http://www.ncbi.nlm.nih.gov/gene/7528","7528")</f>
        <v>7528</v>
      </c>
      <c r="B4555" s="1" t="s">
        <v>10591</v>
      </c>
      <c r="C4555" t="s">
        <v>10592</v>
      </c>
      <c r="D4555">
        <v>109.6</v>
      </c>
      <c r="E4555">
        <v>105.8</v>
      </c>
      <c r="F4555">
        <v>100</v>
      </c>
      <c r="G4555">
        <v>99.8</v>
      </c>
      <c r="H4555">
        <v>134.30000000000001</v>
      </c>
      <c r="I4555">
        <v>135.80000000000001</v>
      </c>
      <c r="J4555">
        <v>100</v>
      </c>
      <c r="K4555">
        <v>100</v>
      </c>
      <c r="L4555" s="1" t="s">
        <v>10591</v>
      </c>
      <c r="M4555" t="s">
        <v>189</v>
      </c>
      <c r="N4555">
        <v>2</v>
      </c>
    </row>
    <row r="4556" spans="1:14" x14ac:dyDescent="0.25">
      <c r="A4556" s="3" t="str">
        <f>HYPERLINK("http://www.ncbi.nlm.nih.gov/gene/55249","55249")</f>
        <v>55249</v>
      </c>
      <c r="B4556" s="1" t="s">
        <v>10593</v>
      </c>
      <c r="C4556" t="s">
        <v>10594</v>
      </c>
      <c r="D4556">
        <v>162.1</v>
      </c>
      <c r="E4556">
        <v>163.80000000000001</v>
      </c>
      <c r="F4556">
        <v>99.3</v>
      </c>
      <c r="G4556">
        <v>98.2</v>
      </c>
      <c r="H4556">
        <v>165.9</v>
      </c>
      <c r="I4556">
        <v>170.1</v>
      </c>
      <c r="J4556">
        <v>100</v>
      </c>
      <c r="K4556">
        <v>100</v>
      </c>
      <c r="L4556" s="1" t="s">
        <v>10593</v>
      </c>
      <c r="M4556" t="s">
        <v>53</v>
      </c>
      <c r="N4556">
        <v>2</v>
      </c>
    </row>
    <row r="4557" spans="1:14" x14ac:dyDescent="0.25">
      <c r="A4557" s="3" t="str">
        <f>HYPERLINK("http://www.ncbi.nlm.nih.gov/gene/7535","7535")</f>
        <v>7535</v>
      </c>
      <c r="B4557" s="1" t="s">
        <v>10595</v>
      </c>
      <c r="C4557" t="s">
        <v>10596</v>
      </c>
      <c r="D4557">
        <v>162.9</v>
      </c>
      <c r="E4557">
        <v>166.6</v>
      </c>
      <c r="F4557">
        <v>100</v>
      </c>
      <c r="G4557">
        <v>99.3</v>
      </c>
      <c r="H4557">
        <v>156.30000000000001</v>
      </c>
      <c r="I4557">
        <v>160.19999999999999</v>
      </c>
      <c r="J4557">
        <v>100</v>
      </c>
      <c r="K4557">
        <v>100</v>
      </c>
      <c r="L4557" s="1" t="s">
        <v>10595</v>
      </c>
      <c r="M4557" t="s">
        <v>10597</v>
      </c>
      <c r="N4557">
        <v>4</v>
      </c>
    </row>
    <row r="4558" spans="1:14" x14ac:dyDescent="0.25">
      <c r="A4558" s="3" t="str">
        <f>HYPERLINK("http://www.ncbi.nlm.nih.gov/gene/27107","27107")</f>
        <v>27107</v>
      </c>
      <c r="B4558" s="1" t="s">
        <v>10598</v>
      </c>
      <c r="C4558" t="s">
        <v>10599</v>
      </c>
      <c r="D4558">
        <v>207.4</v>
      </c>
      <c r="E4558">
        <v>199.9</v>
      </c>
      <c r="F4558">
        <v>99.9</v>
      </c>
      <c r="G4558">
        <v>99.6</v>
      </c>
      <c r="H4558">
        <v>142.69999999999999</v>
      </c>
      <c r="I4558">
        <v>145.80000000000001</v>
      </c>
      <c r="J4558">
        <v>100</v>
      </c>
      <c r="K4558">
        <v>100</v>
      </c>
      <c r="L4558" s="1" t="s">
        <v>10598</v>
      </c>
      <c r="M4558" t="s">
        <v>38</v>
      </c>
      <c r="N4558">
        <v>4</v>
      </c>
    </row>
    <row r="4559" spans="1:14" x14ac:dyDescent="0.25">
      <c r="A4559" s="3" t="str">
        <f>HYPERLINK("http://www.ncbi.nlm.nih.gov/gene/7704","7704")</f>
        <v>7704</v>
      </c>
      <c r="B4559" s="1" t="s">
        <v>10600</v>
      </c>
      <c r="C4559" t="s">
        <v>10601</v>
      </c>
      <c r="D4559">
        <v>165.4</v>
      </c>
      <c r="E4559">
        <v>153.1</v>
      </c>
      <c r="F4559">
        <v>100</v>
      </c>
      <c r="G4559">
        <v>99.9</v>
      </c>
      <c r="H4559">
        <v>145.5</v>
      </c>
      <c r="I4559">
        <v>147.1</v>
      </c>
      <c r="J4559">
        <v>100</v>
      </c>
      <c r="K4559">
        <v>100</v>
      </c>
      <c r="L4559" s="1" t="s">
        <v>10600</v>
      </c>
      <c r="M4559" t="s">
        <v>656</v>
      </c>
      <c r="N4559">
        <v>4</v>
      </c>
    </row>
    <row r="4560" spans="1:14" x14ac:dyDescent="0.25">
      <c r="A4560" s="3" t="str">
        <f>HYPERLINK("http://www.ncbi.nlm.nih.gov/gene/7709","7709")</f>
        <v>7709</v>
      </c>
      <c r="B4560" s="1" t="s">
        <v>10602</v>
      </c>
      <c r="C4560" t="s">
        <v>10603</v>
      </c>
      <c r="D4560">
        <v>131.1</v>
      </c>
      <c r="E4560">
        <v>135.4</v>
      </c>
      <c r="F4560">
        <v>100</v>
      </c>
      <c r="G4560">
        <v>100</v>
      </c>
      <c r="H4560">
        <v>163.4</v>
      </c>
      <c r="I4560">
        <v>167.9</v>
      </c>
      <c r="J4560">
        <v>100</v>
      </c>
      <c r="K4560">
        <v>100</v>
      </c>
      <c r="L4560" s="1" t="s">
        <v>10602</v>
      </c>
      <c r="M4560" t="s">
        <v>197</v>
      </c>
      <c r="N4560">
        <v>2</v>
      </c>
    </row>
    <row r="4561" spans="1:14" x14ac:dyDescent="0.25">
      <c r="A4561" s="3" t="str">
        <f>HYPERLINK("http://www.ncbi.nlm.nih.gov/gene/10472","10472")</f>
        <v>10472</v>
      </c>
      <c r="B4561" s="1" t="s">
        <v>10604</v>
      </c>
      <c r="C4561" t="s">
        <v>10605</v>
      </c>
      <c r="D4561">
        <v>208.6</v>
      </c>
      <c r="E4561">
        <v>210.2</v>
      </c>
      <c r="F4561">
        <v>100</v>
      </c>
      <c r="G4561">
        <v>99.9</v>
      </c>
      <c r="H4561">
        <v>158.19999999999999</v>
      </c>
      <c r="I4561">
        <v>162.19999999999999</v>
      </c>
      <c r="J4561">
        <v>100</v>
      </c>
      <c r="K4561">
        <v>99.8</v>
      </c>
      <c r="L4561" s="1" t="s">
        <v>10604</v>
      </c>
      <c r="M4561" t="s">
        <v>189</v>
      </c>
      <c r="N4561">
        <v>2</v>
      </c>
    </row>
    <row r="4562" spans="1:14" x14ac:dyDescent="0.25">
      <c r="A4562" s="3" t="str">
        <f>HYPERLINK("http://www.ncbi.nlm.nih.gov/gene/26137","26137")</f>
        <v>26137</v>
      </c>
      <c r="B4562" s="1" t="s">
        <v>10606</v>
      </c>
      <c r="C4562" t="s">
        <v>10607</v>
      </c>
      <c r="D4562">
        <v>199.2</v>
      </c>
      <c r="E4562">
        <v>186.4</v>
      </c>
      <c r="F4562">
        <v>100</v>
      </c>
      <c r="G4562">
        <v>100</v>
      </c>
      <c r="H4562">
        <v>157.6</v>
      </c>
      <c r="I4562">
        <v>159.6</v>
      </c>
      <c r="J4562">
        <v>100</v>
      </c>
      <c r="K4562">
        <v>100</v>
      </c>
      <c r="L4562" s="1" t="s">
        <v>10606</v>
      </c>
      <c r="M4562" t="s">
        <v>419</v>
      </c>
      <c r="N4562">
        <v>3</v>
      </c>
    </row>
    <row r="4563" spans="1:14" x14ac:dyDescent="0.25">
      <c r="A4563" s="3" t="str">
        <f>HYPERLINK("http://www.ncbi.nlm.nih.gov/gene/9841","9841")</f>
        <v>9841</v>
      </c>
      <c r="B4563" s="1" t="s">
        <v>10608</v>
      </c>
      <c r="C4563" t="s">
        <v>10609</v>
      </c>
      <c r="D4563">
        <v>169.4</v>
      </c>
      <c r="E4563">
        <v>168</v>
      </c>
      <c r="F4563">
        <v>100</v>
      </c>
      <c r="G4563">
        <v>100</v>
      </c>
      <c r="H4563">
        <v>157.80000000000001</v>
      </c>
      <c r="I4563">
        <v>159.9</v>
      </c>
      <c r="J4563">
        <v>100</v>
      </c>
      <c r="K4563">
        <v>100</v>
      </c>
      <c r="L4563" s="1" t="s">
        <v>10608</v>
      </c>
      <c r="M4563" t="s">
        <v>10610</v>
      </c>
      <c r="N4563">
        <v>4</v>
      </c>
    </row>
    <row r="4564" spans="1:14" x14ac:dyDescent="0.25">
      <c r="A4564" s="3" t="str">
        <f>HYPERLINK("http://www.ncbi.nlm.nih.gov/gene/100128927","100128927")</f>
        <v>100128927</v>
      </c>
      <c r="B4564" s="1" t="s">
        <v>10611</v>
      </c>
      <c r="C4564" t="s">
        <v>10612</v>
      </c>
      <c r="D4564">
        <v>131</v>
      </c>
      <c r="E4564">
        <v>121.3</v>
      </c>
      <c r="F4564">
        <v>100</v>
      </c>
      <c r="G4564">
        <v>100</v>
      </c>
      <c r="H4564">
        <v>161.6</v>
      </c>
      <c r="I4564">
        <v>159.30000000000001</v>
      </c>
      <c r="J4564">
        <v>100</v>
      </c>
      <c r="K4564">
        <v>100</v>
      </c>
      <c r="L4564" s="1" t="s">
        <v>10611</v>
      </c>
      <c r="M4564" t="s">
        <v>53</v>
      </c>
      <c r="N4564">
        <v>2</v>
      </c>
    </row>
    <row r="4565" spans="1:14" x14ac:dyDescent="0.25">
      <c r="A4565" s="3" t="str">
        <f>HYPERLINK("http://www.ncbi.nlm.nih.gov/gene/79882","79882")</f>
        <v>79882</v>
      </c>
      <c r="B4565" s="1" t="s">
        <v>10613</v>
      </c>
      <c r="C4565" t="s">
        <v>10614</v>
      </c>
      <c r="D4565">
        <v>176.4</v>
      </c>
      <c r="E4565">
        <v>181.4</v>
      </c>
      <c r="F4565">
        <v>99.9</v>
      </c>
      <c r="G4565">
        <v>98.9</v>
      </c>
      <c r="H4565">
        <v>130.9</v>
      </c>
      <c r="I4565">
        <v>134.69999999999999</v>
      </c>
      <c r="J4565">
        <v>100</v>
      </c>
      <c r="K4565">
        <v>100</v>
      </c>
      <c r="L4565" s="1" t="s">
        <v>10613</v>
      </c>
      <c r="M4565" t="s">
        <v>228</v>
      </c>
      <c r="N4565">
        <v>3</v>
      </c>
    </row>
    <row r="4566" spans="1:14" x14ac:dyDescent="0.25">
      <c r="A4566" s="3" t="str">
        <f>HYPERLINK("http://www.ncbi.nlm.nih.gov/gene/55906","55906")</f>
        <v>55906</v>
      </c>
      <c r="B4566" s="1" t="s">
        <v>10615</v>
      </c>
      <c r="C4566" t="s">
        <v>10616</v>
      </c>
      <c r="D4566">
        <v>81.900000000000006</v>
      </c>
      <c r="E4566">
        <v>87.8</v>
      </c>
      <c r="F4566">
        <v>100</v>
      </c>
      <c r="G4566">
        <v>99</v>
      </c>
      <c r="H4566">
        <v>136.4</v>
      </c>
      <c r="I4566">
        <v>141</v>
      </c>
      <c r="J4566">
        <v>100</v>
      </c>
      <c r="K4566">
        <v>100</v>
      </c>
      <c r="L4566" s="1" t="s">
        <v>10615</v>
      </c>
      <c r="M4566" t="s">
        <v>10617</v>
      </c>
      <c r="N4566">
        <v>5</v>
      </c>
    </row>
    <row r="4567" spans="1:14" x14ac:dyDescent="0.25">
      <c r="A4567" s="3" t="str">
        <f>HYPERLINK("http://www.ncbi.nlm.nih.gov/gene/55596","55596")</f>
        <v>55596</v>
      </c>
      <c r="B4567" s="1" t="s">
        <v>10618</v>
      </c>
      <c r="C4567" t="s">
        <v>10619</v>
      </c>
      <c r="D4567">
        <v>133.5</v>
      </c>
      <c r="E4567">
        <v>133.1</v>
      </c>
      <c r="F4567">
        <v>99.8</v>
      </c>
      <c r="G4567">
        <v>98.7</v>
      </c>
      <c r="H4567">
        <v>125.6</v>
      </c>
      <c r="I4567">
        <v>126.9</v>
      </c>
      <c r="J4567">
        <v>100</v>
      </c>
      <c r="K4567">
        <v>100</v>
      </c>
      <c r="L4567" s="1" t="s">
        <v>10618</v>
      </c>
      <c r="M4567" t="s">
        <v>5323</v>
      </c>
      <c r="N4567">
        <v>2</v>
      </c>
    </row>
    <row r="4568" spans="1:14" x14ac:dyDescent="0.25">
      <c r="A4568" s="3" t="str">
        <f>HYPERLINK("http://www.ncbi.nlm.nih.gov/gene/51114","51114")</f>
        <v>51114</v>
      </c>
      <c r="B4568" s="1" t="s">
        <v>10620</v>
      </c>
      <c r="C4568" t="s">
        <v>10621</v>
      </c>
      <c r="D4568">
        <v>58.9</v>
      </c>
      <c r="E4568">
        <v>60.1</v>
      </c>
      <c r="F4568">
        <v>99.9</v>
      </c>
      <c r="G4568">
        <v>93.8</v>
      </c>
      <c r="H4568">
        <v>131.4</v>
      </c>
      <c r="I4568">
        <v>135.30000000000001</v>
      </c>
      <c r="J4568">
        <v>100</v>
      </c>
      <c r="K4568">
        <v>100</v>
      </c>
      <c r="L4568" s="1" t="s">
        <v>10620</v>
      </c>
      <c r="M4568" t="s">
        <v>10622</v>
      </c>
      <c r="N4568">
        <v>3</v>
      </c>
    </row>
    <row r="4569" spans="1:14" x14ac:dyDescent="0.25">
      <c r="A4569" s="3" t="str">
        <f>HYPERLINK("http://www.ncbi.nlm.nih.gov/gene/6935","6935")</f>
        <v>6935</v>
      </c>
      <c r="B4569" s="1" t="s">
        <v>10623</v>
      </c>
      <c r="C4569" t="s">
        <v>10624</v>
      </c>
      <c r="D4569">
        <v>174.5</v>
      </c>
      <c r="E4569">
        <v>170.5</v>
      </c>
      <c r="F4569">
        <v>100</v>
      </c>
      <c r="G4569">
        <v>99.4</v>
      </c>
      <c r="H4569">
        <v>143.69999999999999</v>
      </c>
      <c r="I4569">
        <v>145.80000000000001</v>
      </c>
      <c r="J4569">
        <v>100</v>
      </c>
      <c r="K4569">
        <v>100</v>
      </c>
      <c r="L4569" s="1" t="s">
        <v>10623</v>
      </c>
      <c r="M4569" t="s">
        <v>793</v>
      </c>
      <c r="N4569">
        <v>2</v>
      </c>
    </row>
    <row r="4570" spans="1:14" x14ac:dyDescent="0.25">
      <c r="A4570" s="3" t="str">
        <f>HYPERLINK("http://www.ncbi.nlm.nih.gov/gene/9839","9839")</f>
        <v>9839</v>
      </c>
      <c r="B4570" s="1" t="s">
        <v>10625</v>
      </c>
      <c r="C4570" t="s">
        <v>10626</v>
      </c>
      <c r="D4570">
        <v>155.30000000000001</v>
      </c>
      <c r="E4570">
        <v>158.69999999999999</v>
      </c>
      <c r="F4570">
        <v>99.9</v>
      </c>
      <c r="G4570">
        <v>99.1</v>
      </c>
      <c r="H4570">
        <v>139.69999999999999</v>
      </c>
      <c r="I4570">
        <v>143.5</v>
      </c>
      <c r="J4570">
        <v>97.4</v>
      </c>
      <c r="K4570">
        <v>97.4</v>
      </c>
      <c r="L4570" s="1" t="s">
        <v>10625</v>
      </c>
      <c r="M4570" t="s">
        <v>10627</v>
      </c>
      <c r="N4570">
        <v>5</v>
      </c>
    </row>
    <row r="4571" spans="1:14" x14ac:dyDescent="0.25">
      <c r="A4571" s="3" t="str">
        <f>HYPERLINK("http://www.ncbi.nlm.nih.gov/gene/85446","85446")</f>
        <v>85446</v>
      </c>
      <c r="B4571" s="1" t="s">
        <v>10628</v>
      </c>
      <c r="C4571" t="s">
        <v>10629</v>
      </c>
      <c r="D4571">
        <v>141.1</v>
      </c>
      <c r="E4571">
        <v>134.80000000000001</v>
      </c>
      <c r="F4571">
        <v>100</v>
      </c>
      <c r="G4571">
        <v>99.6</v>
      </c>
      <c r="H4571">
        <v>147.9</v>
      </c>
      <c r="I4571">
        <v>147.5</v>
      </c>
      <c r="J4571">
        <v>100</v>
      </c>
      <c r="K4571">
        <v>100</v>
      </c>
      <c r="L4571" s="1" t="s">
        <v>10628</v>
      </c>
      <c r="M4571" t="s">
        <v>1335</v>
      </c>
      <c r="N4571">
        <v>2</v>
      </c>
    </row>
    <row r="4572" spans="1:14" x14ac:dyDescent="0.25">
      <c r="A4572" s="3" t="str">
        <f>HYPERLINK("http://www.ncbi.nlm.nih.gov/gene/463","463")</f>
        <v>463</v>
      </c>
      <c r="B4572" s="1" t="s">
        <v>10630</v>
      </c>
      <c r="C4572" t="s">
        <v>10631</v>
      </c>
      <c r="D4572">
        <v>134.69999999999999</v>
      </c>
      <c r="E4572">
        <v>131</v>
      </c>
      <c r="F4572">
        <v>100</v>
      </c>
      <c r="G4572">
        <v>99.6</v>
      </c>
      <c r="H4572">
        <v>156.69999999999999</v>
      </c>
      <c r="I4572">
        <v>156.5</v>
      </c>
      <c r="J4572">
        <v>100</v>
      </c>
      <c r="K4572">
        <v>100</v>
      </c>
      <c r="L4572" s="1" t="s">
        <v>10630</v>
      </c>
      <c r="M4572" t="s">
        <v>22</v>
      </c>
      <c r="N4572">
        <v>1</v>
      </c>
    </row>
    <row r="4573" spans="1:14" x14ac:dyDescent="0.25">
      <c r="A4573" s="3" t="str">
        <f>HYPERLINK("http://www.ncbi.nlm.nih.gov/gene/346171","346171")</f>
        <v>346171</v>
      </c>
      <c r="B4573" s="1" t="s">
        <v>10632</v>
      </c>
      <c r="C4573" t="s">
        <v>10633</v>
      </c>
      <c r="D4573">
        <v>136.4</v>
      </c>
      <c r="E4573">
        <v>129.1</v>
      </c>
      <c r="F4573">
        <v>100</v>
      </c>
      <c r="G4573">
        <v>99.8</v>
      </c>
      <c r="H4573">
        <v>246.1</v>
      </c>
      <c r="I4573">
        <v>250.4</v>
      </c>
      <c r="J4573">
        <v>100</v>
      </c>
      <c r="K4573">
        <v>100</v>
      </c>
      <c r="L4573" s="1" t="s">
        <v>10632</v>
      </c>
      <c r="M4573" t="s">
        <v>285</v>
      </c>
      <c r="N4573">
        <v>1</v>
      </c>
    </row>
    <row r="4574" spans="1:14" x14ac:dyDescent="0.25">
      <c r="A4574" s="3" t="str">
        <f>HYPERLINK("http://www.ncbi.nlm.nih.gov/gene/23414","23414")</f>
        <v>23414</v>
      </c>
      <c r="B4574" s="1" t="s">
        <v>10634</v>
      </c>
      <c r="C4574" t="s">
        <v>10635</v>
      </c>
      <c r="D4574">
        <v>186.3</v>
      </c>
      <c r="E4574">
        <v>181.3</v>
      </c>
      <c r="F4574">
        <v>100</v>
      </c>
      <c r="G4574">
        <v>100</v>
      </c>
      <c r="H4574">
        <v>151.30000000000001</v>
      </c>
      <c r="I4574">
        <v>153.9</v>
      </c>
      <c r="J4574">
        <v>100</v>
      </c>
      <c r="K4574">
        <v>100</v>
      </c>
      <c r="L4574" s="1" t="s">
        <v>10634</v>
      </c>
      <c r="M4574" t="s">
        <v>3838</v>
      </c>
      <c r="N4574">
        <v>4</v>
      </c>
    </row>
    <row r="4575" spans="1:14" x14ac:dyDescent="0.25">
      <c r="A4575" s="3" t="str">
        <f>HYPERLINK("http://www.ncbi.nlm.nih.gov/gene/23503","23503")</f>
        <v>23503</v>
      </c>
      <c r="B4575" s="1" t="s">
        <v>10636</v>
      </c>
      <c r="C4575" t="s">
        <v>10637</v>
      </c>
      <c r="D4575">
        <v>114.2</v>
      </c>
      <c r="E4575">
        <v>116.7</v>
      </c>
      <c r="F4575">
        <v>100</v>
      </c>
      <c r="G4575">
        <v>99.1</v>
      </c>
      <c r="H4575">
        <v>139.80000000000001</v>
      </c>
      <c r="I4575">
        <v>143.4</v>
      </c>
      <c r="J4575">
        <v>100</v>
      </c>
      <c r="K4575">
        <v>100</v>
      </c>
      <c r="L4575" s="1" t="s">
        <v>10636</v>
      </c>
      <c r="M4575" t="s">
        <v>360</v>
      </c>
      <c r="N4575">
        <v>5</v>
      </c>
    </row>
    <row r="4576" spans="1:14" x14ac:dyDescent="0.25">
      <c r="A4576" s="3" t="str">
        <f>HYPERLINK("http://www.ncbi.nlm.nih.gov/gene/118813","118813")</f>
        <v>118813</v>
      </c>
      <c r="B4576" s="1" t="s">
        <v>10638</v>
      </c>
      <c r="C4576" t="s">
        <v>10639</v>
      </c>
      <c r="D4576">
        <v>117.6</v>
      </c>
      <c r="E4576">
        <v>122</v>
      </c>
      <c r="F4576">
        <v>100</v>
      </c>
      <c r="G4576">
        <v>100</v>
      </c>
      <c r="H4576">
        <v>128</v>
      </c>
      <c r="I4576">
        <v>131.6</v>
      </c>
      <c r="J4576">
        <v>100</v>
      </c>
      <c r="K4576">
        <v>100</v>
      </c>
      <c r="L4576" s="1" t="s">
        <v>10638</v>
      </c>
      <c r="M4576" t="s">
        <v>600</v>
      </c>
      <c r="N4576">
        <v>2</v>
      </c>
    </row>
    <row r="4577" spans="1:14" x14ac:dyDescent="0.25">
      <c r="A4577" s="3" t="str">
        <f>HYPERLINK("http://www.ncbi.nlm.nih.gov/gene/7545","7545")</f>
        <v>7545</v>
      </c>
      <c r="B4577" s="1" t="s">
        <v>10640</v>
      </c>
      <c r="C4577" t="s">
        <v>10641</v>
      </c>
      <c r="D4577">
        <v>239.6</v>
      </c>
      <c r="E4577">
        <v>219.9</v>
      </c>
      <c r="F4577">
        <v>100</v>
      </c>
      <c r="G4577">
        <v>100</v>
      </c>
      <c r="H4577">
        <v>185.9</v>
      </c>
      <c r="I4577">
        <v>186.4</v>
      </c>
      <c r="J4577">
        <v>100</v>
      </c>
      <c r="K4577">
        <v>100</v>
      </c>
      <c r="L4577" s="1" t="s">
        <v>10640</v>
      </c>
      <c r="M4577" t="s">
        <v>1679</v>
      </c>
      <c r="N4577">
        <v>3</v>
      </c>
    </row>
    <row r="4578" spans="1:14" x14ac:dyDescent="0.25">
      <c r="A4578" s="3" t="str">
        <f>HYPERLINK("http://www.ncbi.nlm.nih.gov/gene/7546","7546")</f>
        <v>7546</v>
      </c>
      <c r="B4578" s="1" t="s">
        <v>10642</v>
      </c>
      <c r="C4578" t="s">
        <v>10643</v>
      </c>
      <c r="D4578">
        <v>173.9</v>
      </c>
      <c r="E4578">
        <v>110.1</v>
      </c>
      <c r="F4578">
        <v>100</v>
      </c>
      <c r="G4578">
        <v>98.7</v>
      </c>
      <c r="H4578">
        <v>140.5</v>
      </c>
      <c r="I4578">
        <v>136.19999999999999</v>
      </c>
      <c r="J4578">
        <v>98.5</v>
      </c>
      <c r="K4578">
        <v>95.7</v>
      </c>
      <c r="L4578" s="1" t="s">
        <v>10642</v>
      </c>
      <c r="M4578" t="s">
        <v>5778</v>
      </c>
      <c r="N4578">
        <v>4</v>
      </c>
    </row>
    <row r="4579" spans="1:14" x14ac:dyDescent="0.25">
      <c r="A4579" s="3" t="str">
        <f>HYPERLINK("http://www.ncbi.nlm.nih.gov/gene/7547","7547")</f>
        <v>7547</v>
      </c>
      <c r="B4579" s="1" t="s">
        <v>10644</v>
      </c>
      <c r="C4579" t="s">
        <v>10645</v>
      </c>
      <c r="D4579">
        <v>126</v>
      </c>
      <c r="E4579">
        <v>129.6</v>
      </c>
      <c r="F4579">
        <v>100</v>
      </c>
      <c r="G4579">
        <v>99.9</v>
      </c>
      <c r="H4579">
        <v>144.69999999999999</v>
      </c>
      <c r="I4579">
        <v>145.5</v>
      </c>
      <c r="J4579">
        <v>100</v>
      </c>
      <c r="K4579">
        <v>100</v>
      </c>
      <c r="L4579" s="1" t="s">
        <v>10644</v>
      </c>
      <c r="M4579" t="s">
        <v>10646</v>
      </c>
      <c r="N4579">
        <v>5</v>
      </c>
    </row>
    <row r="4580" spans="1:14" x14ac:dyDescent="0.25">
      <c r="A4580" s="3" t="str">
        <f>HYPERLINK("http://www.ncbi.nlm.nih.gov/gene/57178","57178")</f>
        <v>57178</v>
      </c>
      <c r="B4580" s="1" t="s">
        <v>10647</v>
      </c>
      <c r="C4580" t="s">
        <v>10648</v>
      </c>
      <c r="D4580">
        <v>147.9</v>
      </c>
      <c r="E4580">
        <v>153.9</v>
      </c>
      <c r="F4580">
        <v>99.4</v>
      </c>
      <c r="G4580">
        <v>98.4</v>
      </c>
      <c r="H4580">
        <v>153.1</v>
      </c>
      <c r="I4580">
        <v>157.5</v>
      </c>
      <c r="J4580">
        <v>100</v>
      </c>
      <c r="K4580">
        <v>100</v>
      </c>
      <c r="L4580" s="1" t="s">
        <v>10647</v>
      </c>
      <c r="M4580" t="s">
        <v>189</v>
      </c>
      <c r="N4580">
        <v>2</v>
      </c>
    </row>
    <row r="4581" spans="1:14" x14ac:dyDescent="0.25">
      <c r="A4581" s="3" t="str">
        <f>HYPERLINK("http://www.ncbi.nlm.nih.gov/gene/10269","10269")</f>
        <v>10269</v>
      </c>
      <c r="B4581" s="1" t="s">
        <v>10649</v>
      </c>
      <c r="C4581" t="s">
        <v>10650</v>
      </c>
      <c r="D4581">
        <v>148.1</v>
      </c>
      <c r="E4581">
        <v>155.1</v>
      </c>
      <c r="F4581">
        <v>100</v>
      </c>
      <c r="G4581">
        <v>99.9</v>
      </c>
      <c r="H4581">
        <v>114.7</v>
      </c>
      <c r="I4581">
        <v>118.5</v>
      </c>
      <c r="J4581">
        <v>100</v>
      </c>
      <c r="K4581">
        <v>100</v>
      </c>
      <c r="L4581" s="1" t="s">
        <v>10649</v>
      </c>
      <c r="M4581" t="s">
        <v>10651</v>
      </c>
      <c r="N4581">
        <v>7</v>
      </c>
    </row>
    <row r="4582" spans="1:14" x14ac:dyDescent="0.25">
      <c r="A4582" s="3" t="str">
        <f>HYPERLINK("http://www.ncbi.nlm.nih.gov/gene/51364","51364")</f>
        <v>51364</v>
      </c>
      <c r="B4582" s="1" t="s">
        <v>10652</v>
      </c>
      <c r="C4582" t="s">
        <v>10653</v>
      </c>
      <c r="D4582">
        <v>118.9</v>
      </c>
      <c r="E4582">
        <v>120.3</v>
      </c>
      <c r="F4582">
        <v>100</v>
      </c>
      <c r="G4582">
        <v>100</v>
      </c>
      <c r="H4582">
        <v>131.80000000000001</v>
      </c>
      <c r="I4582">
        <v>134.80000000000001</v>
      </c>
      <c r="J4582">
        <v>100</v>
      </c>
      <c r="K4582">
        <v>100</v>
      </c>
      <c r="L4582" s="1" t="s">
        <v>10652</v>
      </c>
      <c r="M4582" t="s">
        <v>1483</v>
      </c>
      <c r="N4582">
        <v>3</v>
      </c>
    </row>
    <row r="4583" spans="1:14" x14ac:dyDescent="0.25">
      <c r="A4583" s="3" t="str">
        <f>HYPERLINK("http://www.ncbi.nlm.nih.gov/gene/10771","10771")</f>
        <v>10771</v>
      </c>
      <c r="B4583" s="1" t="s">
        <v>10654</v>
      </c>
      <c r="C4583" t="s">
        <v>10655</v>
      </c>
      <c r="D4583">
        <v>143.5</v>
      </c>
      <c r="E4583">
        <v>147.69999999999999</v>
      </c>
      <c r="F4583">
        <v>100</v>
      </c>
      <c r="G4583">
        <v>99.6</v>
      </c>
      <c r="H4583">
        <v>133.80000000000001</v>
      </c>
      <c r="I4583">
        <v>137.6</v>
      </c>
      <c r="J4583">
        <v>100</v>
      </c>
      <c r="K4583">
        <v>100</v>
      </c>
      <c r="L4583" s="1" t="s">
        <v>10654</v>
      </c>
      <c r="M4583" t="s">
        <v>189</v>
      </c>
      <c r="N4583">
        <v>2</v>
      </c>
    </row>
    <row r="4584" spans="1:14" x14ac:dyDescent="0.25">
      <c r="A4584" s="3" t="str">
        <f>HYPERLINK("http://www.ncbi.nlm.nih.gov/gene/84225","84225")</f>
        <v>84225</v>
      </c>
      <c r="B4584" s="1" t="s">
        <v>10656</v>
      </c>
      <c r="C4584" t="s">
        <v>10657</v>
      </c>
      <c r="D4584">
        <v>160.1</v>
      </c>
      <c r="E4584">
        <v>162</v>
      </c>
      <c r="F4584">
        <v>100</v>
      </c>
      <c r="G4584">
        <v>99.4</v>
      </c>
      <c r="H4584">
        <v>132.9</v>
      </c>
      <c r="I4584">
        <v>136.1</v>
      </c>
      <c r="J4584">
        <v>100</v>
      </c>
      <c r="K4584">
        <v>100</v>
      </c>
      <c r="L4584" s="1" t="s">
        <v>10656</v>
      </c>
      <c r="M4584" t="s">
        <v>59</v>
      </c>
      <c r="N4584">
        <v>1</v>
      </c>
    </row>
    <row r="4585" spans="1:14" x14ac:dyDescent="0.25">
      <c r="A4585" s="3" t="str">
        <f>HYPERLINK("http://www.ncbi.nlm.nih.gov/gene/7700","7700")</f>
        <v>7700</v>
      </c>
      <c r="B4585" s="1" t="s">
        <v>10658</v>
      </c>
      <c r="C4585" t="s">
        <v>10659</v>
      </c>
      <c r="D4585">
        <v>160</v>
      </c>
      <c r="E4585">
        <v>153.9</v>
      </c>
      <c r="F4585">
        <v>100</v>
      </c>
      <c r="G4585">
        <v>100</v>
      </c>
      <c r="H4585">
        <v>166.5</v>
      </c>
      <c r="I4585">
        <v>145.1</v>
      </c>
      <c r="J4585">
        <v>100</v>
      </c>
      <c r="K4585">
        <v>100</v>
      </c>
      <c r="L4585" s="1" t="s">
        <v>10658</v>
      </c>
      <c r="M4585" t="s">
        <v>59</v>
      </c>
      <c r="N4585">
        <v>1</v>
      </c>
    </row>
    <row r="4586" spans="1:14" x14ac:dyDescent="0.25">
      <c r="A4586" s="3" t="str">
        <f>HYPERLINK("http://www.ncbi.nlm.nih.gov/gene/7701","7701")</f>
        <v>7701</v>
      </c>
      <c r="B4586" s="1" t="s">
        <v>10660</v>
      </c>
      <c r="C4586" t="s">
        <v>10661</v>
      </c>
      <c r="D4586">
        <v>141.5</v>
      </c>
      <c r="E4586">
        <v>136.1</v>
      </c>
      <c r="F4586">
        <v>100</v>
      </c>
      <c r="G4586">
        <v>99.9</v>
      </c>
      <c r="H4586">
        <v>155.1</v>
      </c>
      <c r="I4586">
        <v>154.5</v>
      </c>
      <c r="J4586">
        <v>100</v>
      </c>
      <c r="K4586">
        <v>100</v>
      </c>
      <c r="L4586" s="1" t="s">
        <v>10660</v>
      </c>
      <c r="M4586" t="s">
        <v>228</v>
      </c>
      <c r="N4586">
        <v>3</v>
      </c>
    </row>
    <row r="4587" spans="1:14" x14ac:dyDescent="0.25">
      <c r="A4587" s="3" t="str">
        <f>HYPERLINK("http://www.ncbi.nlm.nih.gov/gene/7707","7707")</f>
        <v>7707</v>
      </c>
      <c r="B4587" s="1" t="s">
        <v>10662</v>
      </c>
      <c r="C4587" t="s">
        <v>10663</v>
      </c>
      <c r="D4587">
        <v>193.8</v>
      </c>
      <c r="E4587">
        <v>187.7</v>
      </c>
      <c r="F4587">
        <v>99.9</v>
      </c>
      <c r="G4587">
        <v>99.6</v>
      </c>
      <c r="H4587">
        <v>144.19999999999999</v>
      </c>
      <c r="I4587">
        <v>144.69999999999999</v>
      </c>
      <c r="J4587">
        <v>100</v>
      </c>
      <c r="K4587">
        <v>100</v>
      </c>
      <c r="L4587" s="1" t="s">
        <v>10662</v>
      </c>
      <c r="M4587" t="s">
        <v>189</v>
      </c>
      <c r="N4587">
        <v>2</v>
      </c>
    </row>
    <row r="4588" spans="1:14" x14ac:dyDescent="0.25">
      <c r="A4588" s="3" t="str">
        <f>HYPERLINK("http://www.ncbi.nlm.nih.gov/gene/23036","23036")</f>
        <v>23036</v>
      </c>
      <c r="B4588" s="1" t="s">
        <v>10664</v>
      </c>
      <c r="C4588" t="s">
        <v>10665</v>
      </c>
      <c r="D4588">
        <v>168.1</v>
      </c>
      <c r="E4588">
        <v>150.6</v>
      </c>
      <c r="F4588">
        <v>99.6</v>
      </c>
      <c r="G4588">
        <v>98.3</v>
      </c>
      <c r="H4588">
        <v>131.19999999999999</v>
      </c>
      <c r="I4588">
        <v>129.69999999999999</v>
      </c>
      <c r="J4588">
        <v>99.6</v>
      </c>
      <c r="K4588">
        <v>99.6</v>
      </c>
      <c r="L4588" s="1" t="s">
        <v>10664</v>
      </c>
      <c r="M4588" t="s">
        <v>189</v>
      </c>
      <c r="N4588">
        <v>2</v>
      </c>
    </row>
    <row r="4589" spans="1:14" x14ac:dyDescent="0.25">
      <c r="A4589" s="3" t="str">
        <f>HYPERLINK("http://www.ncbi.nlm.nih.gov/gene/63925","63925")</f>
        <v>63925</v>
      </c>
      <c r="B4589" s="1" t="s">
        <v>10666</v>
      </c>
      <c r="C4589" t="s">
        <v>10667</v>
      </c>
      <c r="D4589">
        <v>134.30000000000001</v>
      </c>
      <c r="E4589">
        <v>137.1</v>
      </c>
      <c r="F4589">
        <v>100</v>
      </c>
      <c r="G4589">
        <v>99.9</v>
      </c>
      <c r="H4589">
        <v>142.6</v>
      </c>
      <c r="I4589">
        <v>146.19999999999999</v>
      </c>
      <c r="J4589">
        <v>100</v>
      </c>
      <c r="K4589">
        <v>100</v>
      </c>
      <c r="L4589" s="1" t="s">
        <v>10666</v>
      </c>
      <c r="M4589" t="s">
        <v>10668</v>
      </c>
      <c r="N4589">
        <v>4</v>
      </c>
    </row>
    <row r="4590" spans="1:14" x14ac:dyDescent="0.25">
      <c r="A4590" s="3" t="str">
        <f>HYPERLINK("http://www.ncbi.nlm.nih.gov/gene/84905","84905")</f>
        <v>84905</v>
      </c>
      <c r="B4590" s="1" t="s">
        <v>10669</v>
      </c>
      <c r="C4590" t="s">
        <v>10670</v>
      </c>
      <c r="D4590">
        <v>124.5</v>
      </c>
      <c r="E4590">
        <v>129.4</v>
      </c>
      <c r="F4590">
        <v>97.2</v>
      </c>
      <c r="G4590">
        <v>95</v>
      </c>
      <c r="H4590">
        <v>146.1</v>
      </c>
      <c r="I4590">
        <v>148.5</v>
      </c>
      <c r="J4590">
        <v>100</v>
      </c>
      <c r="K4590">
        <v>100</v>
      </c>
      <c r="L4590" s="1" t="s">
        <v>10669</v>
      </c>
      <c r="M4590" t="s">
        <v>1097</v>
      </c>
      <c r="N4590">
        <v>3</v>
      </c>
    </row>
    <row r="4591" spans="1:14" x14ac:dyDescent="0.25">
      <c r="A4591" s="3" t="str">
        <f>HYPERLINK("http://www.ncbi.nlm.nih.gov/gene/55628","55628")</f>
        <v>55628</v>
      </c>
      <c r="B4591" s="1" t="s">
        <v>10671</v>
      </c>
      <c r="D4591">
        <v>173.8</v>
      </c>
      <c r="E4591">
        <v>166.6</v>
      </c>
      <c r="F4591">
        <v>99.9</v>
      </c>
      <c r="G4591">
        <v>99.3</v>
      </c>
      <c r="H4591">
        <v>142.19999999999999</v>
      </c>
      <c r="I4591">
        <v>142.6</v>
      </c>
      <c r="J4591">
        <v>100</v>
      </c>
      <c r="K4591">
        <v>100</v>
      </c>
      <c r="L4591" s="1" t="s">
        <v>10671</v>
      </c>
      <c r="M4591" t="s">
        <v>189</v>
      </c>
      <c r="N4591">
        <v>2</v>
      </c>
    </row>
    <row r="4592" spans="1:14" x14ac:dyDescent="0.25">
      <c r="A4592" s="3" t="str">
        <f>HYPERLINK("http://www.ncbi.nlm.nih.gov/gene/79797","79797")</f>
        <v>79797</v>
      </c>
      <c r="B4592" s="1" t="s">
        <v>10672</v>
      </c>
      <c r="C4592" t="s">
        <v>10673</v>
      </c>
      <c r="D4592">
        <v>162.5</v>
      </c>
      <c r="E4592">
        <v>147</v>
      </c>
      <c r="F4592">
        <v>100</v>
      </c>
      <c r="G4592">
        <v>100</v>
      </c>
      <c r="H4592">
        <v>155.80000000000001</v>
      </c>
      <c r="I4592">
        <v>157.6</v>
      </c>
      <c r="J4592">
        <v>100</v>
      </c>
      <c r="K4592">
        <v>100</v>
      </c>
      <c r="L4592" s="1" t="s">
        <v>10672</v>
      </c>
      <c r="M4592" t="s">
        <v>8030</v>
      </c>
      <c r="N4592">
        <v>3</v>
      </c>
    </row>
    <row r="4593" spans="1:14" x14ac:dyDescent="0.25">
      <c r="A4593" s="3" t="str">
        <f>HYPERLINK("http://www.ncbi.nlm.nih.gov/gene/7592","7592")</f>
        <v>7592</v>
      </c>
      <c r="B4593" s="1" t="s">
        <v>10674</v>
      </c>
      <c r="C4593" t="s">
        <v>10675</v>
      </c>
      <c r="D4593">
        <v>121.4</v>
      </c>
      <c r="E4593">
        <v>113</v>
      </c>
      <c r="F4593">
        <v>100</v>
      </c>
      <c r="G4593">
        <v>99.6</v>
      </c>
      <c r="H4593">
        <v>128.5</v>
      </c>
      <c r="I4593">
        <v>128.69999999999999</v>
      </c>
      <c r="J4593">
        <v>100</v>
      </c>
      <c r="K4593">
        <v>100</v>
      </c>
      <c r="L4593" s="1" t="s">
        <v>10674</v>
      </c>
      <c r="M4593" t="s">
        <v>728</v>
      </c>
      <c r="N4593">
        <v>2</v>
      </c>
    </row>
    <row r="4594" spans="1:14" x14ac:dyDescent="0.25">
      <c r="A4594" s="3" t="str">
        <f>HYPERLINK("http://www.ncbi.nlm.nih.gov/gene/23090","23090")</f>
        <v>23090</v>
      </c>
      <c r="B4594" s="1" t="s">
        <v>10676</v>
      </c>
      <c r="C4594" t="s">
        <v>10677</v>
      </c>
      <c r="D4594">
        <v>213.7</v>
      </c>
      <c r="E4594">
        <v>195.9</v>
      </c>
      <c r="F4594">
        <v>100</v>
      </c>
      <c r="G4594">
        <v>100</v>
      </c>
      <c r="H4594">
        <v>158</v>
      </c>
      <c r="I4594">
        <v>157.6</v>
      </c>
      <c r="J4594">
        <v>100</v>
      </c>
      <c r="K4594">
        <v>100</v>
      </c>
      <c r="L4594" s="1" t="s">
        <v>10676</v>
      </c>
      <c r="M4594" t="s">
        <v>10678</v>
      </c>
      <c r="N4594">
        <v>5</v>
      </c>
    </row>
    <row r="4595" spans="1:14" x14ac:dyDescent="0.25">
      <c r="A4595" s="3" t="str">
        <f>HYPERLINK("http://www.ncbi.nlm.nih.gov/gene/58499","58499")</f>
        <v>58499</v>
      </c>
      <c r="B4595" s="1" t="s">
        <v>10679</v>
      </c>
      <c r="C4595" t="s">
        <v>10680</v>
      </c>
      <c r="D4595">
        <v>209</v>
      </c>
      <c r="E4595">
        <v>195.9</v>
      </c>
      <c r="F4595">
        <v>100</v>
      </c>
      <c r="G4595">
        <v>99.9</v>
      </c>
      <c r="H4595">
        <v>163.9</v>
      </c>
      <c r="I4595">
        <v>162.5</v>
      </c>
      <c r="J4595">
        <v>100</v>
      </c>
      <c r="K4595">
        <v>100</v>
      </c>
      <c r="L4595" s="1" t="s">
        <v>10679</v>
      </c>
      <c r="M4595" t="s">
        <v>189</v>
      </c>
      <c r="N4595">
        <v>2</v>
      </c>
    </row>
    <row r="4596" spans="1:14" x14ac:dyDescent="0.25">
      <c r="A4596" s="3" t="str">
        <f>HYPERLINK("http://www.ncbi.nlm.nih.gov/gene/84627","84627")</f>
        <v>84627</v>
      </c>
      <c r="B4596" s="1" t="s">
        <v>10681</v>
      </c>
      <c r="C4596" t="s">
        <v>10682</v>
      </c>
      <c r="D4596">
        <v>167.8</v>
      </c>
      <c r="E4596">
        <v>154.6</v>
      </c>
      <c r="F4596">
        <v>100</v>
      </c>
      <c r="G4596">
        <v>100</v>
      </c>
      <c r="H4596">
        <v>160.30000000000001</v>
      </c>
      <c r="I4596">
        <v>160.69999999999999</v>
      </c>
      <c r="J4596">
        <v>100</v>
      </c>
      <c r="K4596">
        <v>100</v>
      </c>
      <c r="L4596" s="1" t="s">
        <v>10681</v>
      </c>
      <c r="M4596" t="s">
        <v>1633</v>
      </c>
      <c r="N4596">
        <v>4</v>
      </c>
    </row>
    <row r="4597" spans="1:14" x14ac:dyDescent="0.25">
      <c r="A4597" s="3" t="str">
        <f>HYPERLINK("http://www.ncbi.nlm.nih.gov/gene/130557","130557")</f>
        <v>130557</v>
      </c>
      <c r="B4597" s="1" t="s">
        <v>10683</v>
      </c>
      <c r="C4597" t="s">
        <v>10684</v>
      </c>
      <c r="D4597">
        <v>142.19999999999999</v>
      </c>
      <c r="E4597">
        <v>142.5</v>
      </c>
      <c r="F4597">
        <v>100</v>
      </c>
      <c r="G4597">
        <v>100</v>
      </c>
      <c r="H4597">
        <v>167.6</v>
      </c>
      <c r="I4597">
        <v>167.7</v>
      </c>
      <c r="J4597">
        <v>100</v>
      </c>
      <c r="K4597">
        <v>100</v>
      </c>
      <c r="L4597" s="1" t="s">
        <v>10683</v>
      </c>
      <c r="M4597" t="s">
        <v>56</v>
      </c>
      <c r="N4597">
        <v>3</v>
      </c>
    </row>
    <row r="4598" spans="1:14" x14ac:dyDescent="0.25">
      <c r="A4598" s="3" t="str">
        <f>HYPERLINK("http://www.ncbi.nlm.nih.gov/gene/9640","9640")</f>
        <v>9640</v>
      </c>
      <c r="B4598" s="1" t="s">
        <v>10685</v>
      </c>
      <c r="C4598" t="s">
        <v>10686</v>
      </c>
      <c r="D4598">
        <v>170.7</v>
      </c>
      <c r="E4598">
        <v>151.9</v>
      </c>
      <c r="F4598">
        <v>100</v>
      </c>
      <c r="G4598">
        <v>99.6</v>
      </c>
      <c r="H4598">
        <v>155.80000000000001</v>
      </c>
      <c r="I4598">
        <v>156.69999999999999</v>
      </c>
      <c r="J4598">
        <v>100</v>
      </c>
      <c r="K4598">
        <v>100</v>
      </c>
      <c r="L4598" s="1" t="s">
        <v>10685</v>
      </c>
      <c r="M4598" t="s">
        <v>10687</v>
      </c>
      <c r="N4598">
        <v>3</v>
      </c>
    </row>
    <row r="4599" spans="1:14" x14ac:dyDescent="0.25">
      <c r="A4599" s="3" t="str">
        <f>HYPERLINK("http://www.ncbi.nlm.nih.gov/gene/84146","84146")</f>
        <v>84146</v>
      </c>
      <c r="B4599" s="1" t="s">
        <v>10688</v>
      </c>
      <c r="C4599" t="s">
        <v>10689</v>
      </c>
      <c r="D4599">
        <v>187</v>
      </c>
      <c r="E4599">
        <v>178.6</v>
      </c>
      <c r="F4599">
        <v>100</v>
      </c>
      <c r="G4599">
        <v>100</v>
      </c>
      <c r="H4599">
        <v>152.30000000000001</v>
      </c>
      <c r="I4599">
        <v>152.1</v>
      </c>
      <c r="J4599">
        <v>100</v>
      </c>
      <c r="K4599">
        <v>100</v>
      </c>
      <c r="L4599" s="1" t="s">
        <v>10688</v>
      </c>
      <c r="M4599" t="s">
        <v>302</v>
      </c>
      <c r="N4599">
        <v>2</v>
      </c>
    </row>
    <row r="4600" spans="1:14" x14ac:dyDescent="0.25">
      <c r="A4600" s="3" t="str">
        <f>HYPERLINK("http://www.ncbi.nlm.nih.gov/gene/57592","57592")</f>
        <v>57592</v>
      </c>
      <c r="B4600" s="1" t="s">
        <v>10690</v>
      </c>
      <c r="C4600" t="s">
        <v>10691</v>
      </c>
      <c r="D4600">
        <v>182.6</v>
      </c>
      <c r="E4600">
        <v>176.3</v>
      </c>
      <c r="F4600">
        <v>100</v>
      </c>
      <c r="G4600">
        <v>100</v>
      </c>
      <c r="H4600">
        <v>153.30000000000001</v>
      </c>
      <c r="I4600">
        <v>155</v>
      </c>
      <c r="J4600">
        <v>100</v>
      </c>
      <c r="K4600">
        <v>100</v>
      </c>
      <c r="L4600" s="1" t="s">
        <v>10690</v>
      </c>
      <c r="M4600" t="s">
        <v>285</v>
      </c>
      <c r="N4600">
        <v>1</v>
      </c>
    </row>
    <row r="4601" spans="1:14" x14ac:dyDescent="0.25">
      <c r="A4601" s="3" t="str">
        <f>HYPERLINK("http://www.ncbi.nlm.nih.gov/gene/7552","7552")</f>
        <v>7552</v>
      </c>
      <c r="B4601" s="1" t="s">
        <v>10692</v>
      </c>
      <c r="C4601" t="s">
        <v>10693</v>
      </c>
      <c r="D4601">
        <v>126.8</v>
      </c>
      <c r="E4601">
        <v>127.7</v>
      </c>
      <c r="F4601">
        <v>99.8</v>
      </c>
      <c r="G4601">
        <v>98.2</v>
      </c>
      <c r="H4601">
        <v>124.4</v>
      </c>
      <c r="I4601">
        <v>125.5</v>
      </c>
      <c r="J4601">
        <v>100</v>
      </c>
      <c r="K4601">
        <v>100</v>
      </c>
      <c r="L4601" s="1" t="s">
        <v>10692</v>
      </c>
      <c r="M4601" t="s">
        <v>728</v>
      </c>
      <c r="N4601">
        <v>2</v>
      </c>
    </row>
    <row r="4602" spans="1:14" x14ac:dyDescent="0.25">
      <c r="A4602" s="3" t="str">
        <f>HYPERLINK("http://www.ncbi.nlm.nih.gov/gene/79755","79755")</f>
        <v>79755</v>
      </c>
      <c r="B4602" s="1" t="s">
        <v>10694</v>
      </c>
      <c r="C4602" t="s">
        <v>10695</v>
      </c>
      <c r="D4602">
        <v>186.5</v>
      </c>
      <c r="E4602">
        <v>182</v>
      </c>
      <c r="F4602">
        <v>100</v>
      </c>
      <c r="G4602">
        <v>100</v>
      </c>
      <c r="H4602">
        <v>156.6</v>
      </c>
      <c r="I4602">
        <v>157.19999999999999</v>
      </c>
      <c r="J4602">
        <v>100</v>
      </c>
      <c r="K4602">
        <v>100</v>
      </c>
      <c r="L4602" s="1" t="s">
        <v>10694</v>
      </c>
      <c r="M4602" t="s">
        <v>4063</v>
      </c>
      <c r="N4602">
        <v>2</v>
      </c>
    </row>
    <row r="4603" spans="1:14" x14ac:dyDescent="0.25">
      <c r="A4603" s="3" t="str">
        <f>HYPERLINK("http://www.ncbi.nlm.nih.gov/gene/9326","9326")</f>
        <v>9326</v>
      </c>
      <c r="B4603" s="1" t="s">
        <v>10696</v>
      </c>
      <c r="C4603" t="s">
        <v>10697</v>
      </c>
      <c r="D4603">
        <v>139.69999999999999</v>
      </c>
      <c r="E4603">
        <v>145.80000000000001</v>
      </c>
      <c r="F4603">
        <v>74.400000000000006</v>
      </c>
      <c r="G4603">
        <v>74.400000000000006</v>
      </c>
      <c r="H4603">
        <v>123.2</v>
      </c>
      <c r="I4603">
        <v>126.5</v>
      </c>
      <c r="J4603">
        <v>74.599999999999994</v>
      </c>
      <c r="K4603">
        <v>74.400000000000006</v>
      </c>
      <c r="L4603" s="1" t="s">
        <v>10696</v>
      </c>
      <c r="M4603" t="s">
        <v>53</v>
      </c>
      <c r="N4603">
        <v>2</v>
      </c>
    </row>
    <row r="4604" spans="1:14" x14ac:dyDescent="0.25">
      <c r="A4604" s="3" t="str">
        <f>HYPERLINK("http://www.ncbi.nlm.nih.gov/gene/22917","22917")</f>
        <v>22917</v>
      </c>
      <c r="B4604" s="1" t="s">
        <v>10698</v>
      </c>
      <c r="C4604" t="s">
        <v>10699</v>
      </c>
      <c r="D4604">
        <v>195.8</v>
      </c>
      <c r="E4604">
        <v>202.3</v>
      </c>
      <c r="F4604">
        <v>100</v>
      </c>
      <c r="G4604">
        <v>100</v>
      </c>
      <c r="H4604">
        <v>146.30000000000001</v>
      </c>
      <c r="I4604">
        <v>150.69999999999999</v>
      </c>
      <c r="J4604">
        <v>100</v>
      </c>
      <c r="K4604">
        <v>100</v>
      </c>
      <c r="L4604" s="1" t="s">
        <v>10698</v>
      </c>
      <c r="M4604" t="s">
        <v>53</v>
      </c>
      <c r="N4604">
        <v>2</v>
      </c>
    </row>
    <row r="4605" spans="1:14" x14ac:dyDescent="0.25">
      <c r="A4605" s="3" t="str">
        <f>HYPERLINK("http://www.ncbi.nlm.nih.gov/gene/7783","7783")</f>
        <v>7783</v>
      </c>
      <c r="B4605" s="1" t="s">
        <v>10700</v>
      </c>
      <c r="C4605" t="s">
        <v>10701</v>
      </c>
      <c r="D4605">
        <v>129.4</v>
      </c>
      <c r="E4605">
        <v>131.6</v>
      </c>
      <c r="F4605">
        <v>99.8</v>
      </c>
      <c r="G4605">
        <v>98.4</v>
      </c>
      <c r="H4605">
        <v>136.4</v>
      </c>
      <c r="I4605">
        <v>139.80000000000001</v>
      </c>
      <c r="J4605">
        <v>100</v>
      </c>
      <c r="K4605">
        <v>100</v>
      </c>
      <c r="L4605" s="1" t="s">
        <v>10700</v>
      </c>
      <c r="M4605" t="s">
        <v>59</v>
      </c>
      <c r="N4605">
        <v>1</v>
      </c>
    </row>
    <row r="4606" spans="1:14" x14ac:dyDescent="0.25">
      <c r="A4606" s="3" t="str">
        <f>HYPERLINK("http://www.ncbi.nlm.nih.gov/gene/7784","7784")</f>
        <v>7784</v>
      </c>
      <c r="B4606" s="1" t="s">
        <v>10702</v>
      </c>
      <c r="C4606" t="s">
        <v>10703</v>
      </c>
      <c r="D4606">
        <v>163.80000000000001</v>
      </c>
      <c r="E4606">
        <v>168.1</v>
      </c>
      <c r="F4606">
        <v>100</v>
      </c>
      <c r="G4606">
        <v>100</v>
      </c>
      <c r="H4606">
        <v>151.19999999999999</v>
      </c>
      <c r="I4606">
        <v>156.6</v>
      </c>
      <c r="J4606">
        <v>100</v>
      </c>
      <c r="K4606">
        <v>100</v>
      </c>
      <c r="L4606" s="1" t="s">
        <v>10702</v>
      </c>
      <c r="M4606" t="s">
        <v>285</v>
      </c>
      <c r="N4606">
        <v>1</v>
      </c>
    </row>
    <row r="4607" spans="1:14" x14ac:dyDescent="0.25">
      <c r="A4607" s="3" t="str">
        <f>HYPERLINK("http://www.ncbi.nlm.nih.gov/gene/57688","57688")</f>
        <v>57688</v>
      </c>
      <c r="B4607" s="1" t="s">
        <v>10704</v>
      </c>
      <c r="C4607" t="s">
        <v>10705</v>
      </c>
      <c r="D4607">
        <v>141.80000000000001</v>
      </c>
      <c r="E4607">
        <v>142.4</v>
      </c>
      <c r="F4607">
        <v>95.5</v>
      </c>
      <c r="G4607">
        <v>91.9</v>
      </c>
      <c r="H4607">
        <v>121</v>
      </c>
      <c r="I4607">
        <v>122.6</v>
      </c>
      <c r="J4607">
        <v>94.9</v>
      </c>
      <c r="K4607">
        <v>92.1</v>
      </c>
      <c r="L4607" s="1" t="s">
        <v>10704</v>
      </c>
      <c r="M4607" t="s">
        <v>9031</v>
      </c>
      <c r="N4607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DG-3.1.0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z683109</dc:creator>
  <cp:lastModifiedBy>Jeroen van Reeuwijk</cp:lastModifiedBy>
  <dcterms:created xsi:type="dcterms:W3CDTF">2021-03-23T16:25:00Z</dcterms:created>
  <dcterms:modified xsi:type="dcterms:W3CDTF">2021-04-22T12:43:18Z</dcterms:modified>
</cp:coreProperties>
</file>